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ASSUMPTIONS" sheetId="1" state="visible" r:id="rId1"/>
    <sheet xmlns:r="http://schemas.openxmlformats.org/officeDocument/2006/relationships" name="REVENUE_BUILD" sheetId="2" state="visible" r:id="rId2"/>
    <sheet xmlns:r="http://schemas.openxmlformats.org/officeDocument/2006/relationships" name="COSTS" sheetId="3" state="visible" r:id="rId3"/>
    <sheet xmlns:r="http://schemas.openxmlformats.org/officeDocument/2006/relationships" name="P&amp;L" sheetId="4" state="visible" r:id="rId4"/>
    <sheet xmlns:r="http://schemas.openxmlformats.org/officeDocument/2006/relationships" name="CASH_FLOW" sheetId="5" state="visible" r:id="rId5"/>
    <sheet xmlns:r="http://schemas.openxmlformats.org/officeDocument/2006/relationships" name="METRICS" sheetId="6" state="visible" r:id="rId6"/>
    <sheet xmlns:r="http://schemas.openxmlformats.org/officeDocument/2006/relationships" name="SCENARIO_OUTPUT" sheetId="7" state="visible" r:id="rId7"/>
    <sheet xmlns:r="http://schemas.openxmlformats.org/officeDocument/2006/relationships" name="CAP_TABLE" sheetId="8" state="visible" r:id="rId8"/>
  </sheets>
  <definedNames/>
  <calcPr calcId="124519" fullCalcOnLoad="1"/>
</workbook>
</file>

<file path=xl/styles.xml><?xml version="1.0" encoding="utf-8"?>
<styleSheet xmlns="http://schemas.openxmlformats.org/spreadsheetml/2006/main">
  <numFmts count="5">
    <numFmt numFmtId="164" formatCode="&quot;$&quot;#,##0"/>
    <numFmt numFmtId="165" formatCode="0.0%"/>
    <numFmt numFmtId="166" formatCode="0.0&quot;x&quot;"/>
    <numFmt numFmtId="167" formatCode="&quot;$&quot;#,##0.0,,&quot;M&quot;"/>
    <numFmt numFmtId="168" formatCode="0.0"/>
  </numFmts>
  <fonts count="16">
    <font>
      <name val="Calibri"/>
      <family val="2"/>
      <color theme="1"/>
      <sz val="11"/>
      <scheme val="minor"/>
    </font>
    <font>
      <b val="1"/>
      <color rgb="00062E2E"/>
      <sz val="14"/>
    </font>
    <font>
      <i val="1"/>
      <color rgb="00555555"/>
      <sz val="9"/>
    </font>
    <font>
      <b val="1"/>
      <color rgb="00FFFFFF"/>
      <sz val="11"/>
    </font>
    <font>
      <b val="1"/>
      <color rgb="00062E2E"/>
      <sz val="10"/>
    </font>
    <font>
      <i val="1"/>
    </font>
    <font>
      <b val="1"/>
      <color rgb="000E8A8A"/>
    </font>
    <font>
      <sz val="10"/>
    </font>
    <font>
      <b val="1"/>
      <sz val="10"/>
    </font>
    <font>
      <b val="1"/>
      <color rgb="000E8A8A"/>
      <sz val="11"/>
    </font>
    <font>
      <b val="1"/>
    </font>
    <font>
      <sz val="9"/>
    </font>
    <font>
      <b val="1"/>
      <color rgb="000E8A8A"/>
      <sz val="12"/>
    </font>
    <font>
      <b val="1"/>
      <color rgb="00062E2E"/>
    </font>
    <font>
      <i val="1"/>
      <sz val="9"/>
    </font>
    <font>
      <i val="1"/>
      <color rgb="00555555"/>
      <sz val="10"/>
    </font>
  </fonts>
  <fills count="6">
    <fill>
      <patternFill/>
    </fill>
    <fill>
      <patternFill patternType="gray125"/>
    </fill>
    <fill>
      <patternFill patternType="solid">
        <fgColor rgb="000E8A8A"/>
      </patternFill>
    </fill>
    <fill>
      <patternFill patternType="solid">
        <fgColor rgb="00E0F5EF"/>
      </patternFill>
    </fill>
    <fill>
      <patternFill patternType="solid">
        <fgColor rgb="00FFF8DC"/>
      </patternFill>
    </fill>
    <fill>
      <patternFill patternType="solid">
        <fgColor rgb="00F0F0F0"/>
      </patternFill>
    </fill>
  </fills>
  <borders count="2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</borders>
  <cellStyleXfs count="1">
    <xf numFmtId="0" fontId="0" fillId="0" borderId="0"/>
  </cellStyleXfs>
  <cellXfs count="38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1" applyAlignment="1" pivotButton="0" quotePrefix="0" xfId="0">
      <alignment horizontal="center" vertical="center"/>
    </xf>
    <xf numFmtId="0" fontId="4" fillId="3" borderId="1" applyAlignment="1" pivotButton="0" quotePrefix="0" xfId="0">
      <alignment horizontal="left" vertical="center"/>
    </xf>
    <xf numFmtId="3" fontId="0" fillId="4" borderId="1" pivotButton="0" quotePrefix="0" xfId="0"/>
    <xf numFmtId="164" fontId="0" fillId="4" borderId="1" pivotButton="0" quotePrefix="0" xfId="0"/>
    <xf numFmtId="165" fontId="0" fillId="4" borderId="1" pivotButton="0" quotePrefix="0" xfId="0"/>
    <xf numFmtId="166" fontId="0" fillId="4" borderId="1" pivotButton="0" quotePrefix="0" xfId="0"/>
    <xf numFmtId="0" fontId="0" fillId="4" borderId="1" pivotButton="0" quotePrefix="0" xfId="0"/>
    <xf numFmtId="165" fontId="5" fillId="5" borderId="1" pivotButton="0" quotePrefix="0" xfId="0"/>
    <xf numFmtId="164" fontId="5" fillId="5" borderId="1" pivotButton="0" quotePrefix="0" xfId="0"/>
    <xf numFmtId="0" fontId="7" fillId="0" borderId="0" pivotButton="0" quotePrefix="0" xfId="0"/>
    <xf numFmtId="3" fontId="5" fillId="5" borderId="1" pivotButton="0" quotePrefix="0" xfId="0"/>
    <xf numFmtId="0" fontId="8" fillId="0" borderId="0" pivotButton="0" quotePrefix="0" xfId="0"/>
    <xf numFmtId="0" fontId="9" fillId="0" borderId="0" pivotButton="0" quotePrefix="0" xfId="0"/>
    <xf numFmtId="167" fontId="6" fillId="3" borderId="1" pivotButton="0" quotePrefix="0" xfId="0"/>
    <xf numFmtId="164" fontId="10" fillId="3" borderId="1" pivotButton="0" quotePrefix="0" xfId="0"/>
    <xf numFmtId="0" fontId="11" fillId="0" borderId="0" pivotButton="0" quotePrefix="0" xfId="0"/>
    <xf numFmtId="0" fontId="10" fillId="0" borderId="0" pivotButton="0" quotePrefix="0" xfId="0"/>
    <xf numFmtId="0" fontId="12" fillId="3" borderId="0" pivotButton="0" quotePrefix="0" xfId="0"/>
    <xf numFmtId="167" fontId="12" fillId="3" borderId="1" pivotButton="0" quotePrefix="0" xfId="0"/>
    <xf numFmtId="167" fontId="10" fillId="3" borderId="1" pivotButton="0" quotePrefix="0" xfId="0"/>
    <xf numFmtId="167" fontId="13" fillId="3" borderId="1" pivotButton="0" quotePrefix="0" xfId="0"/>
    <xf numFmtId="164" fontId="10" fillId="0" borderId="1" pivotButton="0" quotePrefix="0" xfId="0"/>
    <xf numFmtId="168" fontId="5" fillId="5" borderId="1" pivotButton="0" quotePrefix="0" xfId="0"/>
    <xf numFmtId="0" fontId="6" fillId="0" borderId="0" pivotButton="0" quotePrefix="0" xfId="0"/>
    <xf numFmtId="0" fontId="14" fillId="0" borderId="0" pivotButton="0" quotePrefix="0" xfId="0"/>
    <xf numFmtId="2" fontId="10" fillId="3" borderId="1" pivotButton="0" quotePrefix="0" xfId="0"/>
    <xf numFmtId="166" fontId="10" fillId="3" borderId="1" pivotButton="0" quotePrefix="0" xfId="0"/>
    <xf numFmtId="165" fontId="10" fillId="3" borderId="1" pivotButton="0" quotePrefix="0" xfId="0"/>
    <xf numFmtId="167" fontId="10" fillId="0" borderId="1" pivotButton="0" quotePrefix="0" xfId="0"/>
    <xf numFmtId="167" fontId="5" fillId="5" borderId="1" pivotButton="0" quotePrefix="0" xfId="0"/>
    <xf numFmtId="166" fontId="5" fillId="5" borderId="1" pivotButton="0" quotePrefix="0" xfId="0"/>
    <xf numFmtId="165" fontId="6" fillId="3" borderId="1" pivotButton="0" quotePrefix="0" xfId="0"/>
    <xf numFmtId="0" fontId="5" fillId="5" borderId="1" pivotButton="0" quotePrefix="0" xfId="0"/>
    <xf numFmtId="3" fontId="10" fillId="3" borderId="1" pivotButton="0" quotePrefix="0" xfId="0"/>
    <xf numFmtId="0" fontId="15" fillId="0" borderId="0" pivotButton="0" quotePrefix="0" xfId="0"/>
  </cellXfs>
  <cellStyles count="1">
    <cellStyle name="Normal" xfId="0" builtinId="0" hidden="0"/>
  </cellStyles>
  <dxfs count="2">
    <dxf>
      <fill>
        <patternFill patternType="solid">
          <fgColor rgb="00C6EFCE"/>
        </patternFill>
      </fill>
    </dxf>
    <dxf>
      <fill>
        <patternFill patternType="solid">
          <fgColor rgb="00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styles" Target="styles.xml" Id="rId9"/><Relationship Type="http://schemas.openxmlformats.org/officeDocument/2006/relationships/theme" Target="theme/theme1.xml" Id="rId10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67"/>
  <sheetViews>
    <sheetView workbookViewId="0">
      <selection activeCell="A1" sqref="A1"/>
    </sheetView>
  </sheetViews>
  <sheetFormatPr baseColWidth="8" defaultRowHeight="15"/>
  <cols>
    <col width="50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  <col width="16" customWidth="1" min="7" max="7"/>
  </cols>
  <sheetData>
    <row r="1">
      <c r="A1" s="1" t="inlineStr">
        <is>
          <t>Rōvn 3-Case Model — Assumptions</t>
        </is>
      </c>
    </row>
    <row r="2">
      <c r="A2" s="2" t="inlineStr">
        <is>
          <t>All cream cells are toggleable inputs. Gray cells are derived.</t>
        </is>
      </c>
    </row>
    <row r="4">
      <c r="A4" s="3" t="inlineStr">
        <is>
          <t>Driver</t>
        </is>
      </c>
      <c r="B4" s="3" t="inlineStr">
        <is>
          <t>Y1 (2026)</t>
        </is>
      </c>
      <c r="C4" s="3" t="inlineStr">
        <is>
          <t>Y2 (2027)</t>
        </is>
      </c>
      <c r="D4" s="3" t="inlineStr">
        <is>
          <t>Y3 (2028)</t>
        </is>
      </c>
      <c r="E4" s="3" t="inlineStr">
        <is>
          <t>Y4 (2029)</t>
        </is>
      </c>
      <c r="F4" s="3" t="inlineStr">
        <is>
          <t>Y5 (2030)</t>
        </is>
      </c>
    </row>
    <row r="6">
      <c r="A6" s="4" t="inlineStr">
        <is>
          <t>CONNECT FACILITIES (logos at year end)</t>
        </is>
      </c>
    </row>
    <row r="7">
      <c r="A7" t="inlineStr">
        <is>
          <t>Bear — Connect logos</t>
        </is>
      </c>
      <c r="B7" s="5" t="n">
        <v>5</v>
      </c>
      <c r="C7" s="5" t="n">
        <v>25</v>
      </c>
      <c r="D7" s="5" t="n">
        <v>55</v>
      </c>
      <c r="E7" s="5" t="n">
        <v>100</v>
      </c>
      <c r="F7" s="5" t="n">
        <v>150</v>
      </c>
    </row>
    <row r="8">
      <c r="A8" t="inlineStr">
        <is>
          <t>Base — Connect logos</t>
        </is>
      </c>
      <c r="B8" s="5" t="n">
        <v>8</v>
      </c>
      <c r="C8" s="5" t="n">
        <v>40</v>
      </c>
      <c r="D8" s="5" t="n">
        <v>90</v>
      </c>
      <c r="E8" s="5" t="n">
        <v>165</v>
      </c>
      <c r="F8" s="5" t="n">
        <v>220</v>
      </c>
    </row>
    <row r="9">
      <c r="A9" t="inlineStr">
        <is>
          <t>Bull — Connect logos</t>
        </is>
      </c>
      <c r="B9" s="5" t="n">
        <v>12</v>
      </c>
      <c r="C9" s="5" t="n">
        <v>55</v>
      </c>
      <c r="D9" s="5" t="n">
        <v>130</v>
      </c>
      <c r="E9" s="5" t="n">
        <v>210</v>
      </c>
      <c r="F9" s="5" t="n">
        <v>290</v>
      </c>
    </row>
    <row r="11">
      <c r="A11" s="4" t="inlineStr">
        <is>
          <t>CONNECT BLENDED ACV (per logo)</t>
        </is>
      </c>
    </row>
    <row r="12">
      <c r="A12" t="inlineStr">
        <is>
          <t>Bear — ACV</t>
        </is>
      </c>
      <c r="B12" s="6" t="n">
        <v>14000</v>
      </c>
      <c r="C12" s="6" t="n">
        <v>35000</v>
      </c>
      <c r="D12" s="6" t="n">
        <v>75000</v>
      </c>
      <c r="E12" s="6" t="n">
        <v>115000</v>
      </c>
      <c r="F12" s="6" t="n">
        <v>160000</v>
      </c>
    </row>
    <row r="13">
      <c r="A13" t="inlineStr">
        <is>
          <t>Base — ACV</t>
        </is>
      </c>
      <c r="B13" s="6" t="n">
        <v>18000</v>
      </c>
      <c r="C13" s="6" t="n">
        <v>50000</v>
      </c>
      <c r="D13" s="6" t="n">
        <v>90000</v>
      </c>
      <c r="E13" s="6" t="n">
        <v>125000</v>
      </c>
      <c r="F13" s="6" t="n">
        <v>165000</v>
      </c>
    </row>
    <row r="14">
      <c r="A14" t="inlineStr">
        <is>
          <t>Bull — ACV</t>
        </is>
      </c>
      <c r="B14" s="6" t="n">
        <v>22000</v>
      </c>
      <c r="C14" s="6" t="n">
        <v>60000</v>
      </c>
      <c r="D14" s="6" t="n">
        <v>100000</v>
      </c>
      <c r="E14" s="6" t="n">
        <v>140000</v>
      </c>
      <c r="F14" s="6" t="n">
        <v>175000</v>
      </c>
    </row>
    <row r="16">
      <c r="A16" s="4" t="inlineStr">
        <is>
          <t>VERIFIED API — paying customers (Build+Scale+Platform)</t>
        </is>
      </c>
    </row>
    <row r="17">
      <c r="A17" t="inlineStr">
        <is>
          <t>Bear — API customers</t>
        </is>
      </c>
      <c r="B17" s="5" t="n">
        <v>0</v>
      </c>
      <c r="C17" s="5" t="n">
        <v>5</v>
      </c>
      <c r="D17" s="5" t="n">
        <v>20</v>
      </c>
      <c r="E17" s="5" t="n">
        <v>50</v>
      </c>
      <c r="F17" s="5" t="n">
        <v>80</v>
      </c>
    </row>
    <row r="18">
      <c r="A18" t="inlineStr">
        <is>
          <t>Base — API customers</t>
        </is>
      </c>
      <c r="B18" s="5" t="n">
        <v>2</v>
      </c>
      <c r="C18" s="5" t="n">
        <v>10</v>
      </c>
      <c r="D18" s="5" t="n">
        <v>30</v>
      </c>
      <c r="E18" s="5" t="n">
        <v>60</v>
      </c>
      <c r="F18" s="5" t="n">
        <v>100</v>
      </c>
    </row>
    <row r="19">
      <c r="A19" t="inlineStr">
        <is>
          <t>Bull — API customers</t>
        </is>
      </c>
      <c r="B19" s="5" t="n">
        <v>5</v>
      </c>
      <c r="C19" s="5" t="n">
        <v>15</v>
      </c>
      <c r="D19" s="5" t="n">
        <v>40</v>
      </c>
      <c r="E19" s="5" t="n">
        <v>75</v>
      </c>
      <c r="F19" s="5" t="n">
        <v>120</v>
      </c>
    </row>
    <row r="21">
      <c r="A21" s="4" t="inlineStr">
        <is>
          <t>VERIFIED API — blended ACV per customer (subscription + usage)</t>
        </is>
      </c>
    </row>
    <row r="22">
      <c r="A22" t="inlineStr">
        <is>
          <t>Bear — API ACV</t>
        </is>
      </c>
      <c r="B22" s="6" t="n">
        <v>0</v>
      </c>
      <c r="C22" s="6" t="n">
        <v>5000</v>
      </c>
      <c r="D22" s="6" t="n">
        <v>18000</v>
      </c>
      <c r="E22" s="6" t="n">
        <v>35000</v>
      </c>
      <c r="F22" s="6" t="n">
        <v>55000</v>
      </c>
    </row>
    <row r="23">
      <c r="A23" t="inlineStr">
        <is>
          <t>Base — API ACV</t>
        </is>
      </c>
      <c r="B23" s="6" t="n">
        <v>0</v>
      </c>
      <c r="C23" s="6" t="n">
        <v>8000</v>
      </c>
      <c r="D23" s="6" t="n">
        <v>20000</v>
      </c>
      <c r="E23" s="6" t="n">
        <v>40000</v>
      </c>
      <c r="F23" s="6" t="n">
        <v>60000</v>
      </c>
    </row>
    <row r="24">
      <c r="A24" t="inlineStr">
        <is>
          <t>Bull — API ACV</t>
        </is>
      </c>
      <c r="B24" s="6" t="n">
        <v>1500</v>
      </c>
      <c r="C24" s="6" t="n">
        <v>10000</v>
      </c>
      <c r="D24" s="6" t="n">
        <v>25000</v>
      </c>
      <c r="E24" s="6" t="n">
        <v>45000</v>
      </c>
      <c r="F24" s="6" t="n">
        <v>65000</v>
      </c>
    </row>
    <row r="26">
      <c r="A26" s="4" t="inlineStr">
        <is>
          <t>PLATFORM DEALS (one-off enterprise contracts, $)</t>
        </is>
      </c>
    </row>
    <row r="27">
      <c r="A27" t="inlineStr">
        <is>
          <t>Bear — Platform $</t>
        </is>
      </c>
      <c r="B27" s="6" t="n">
        <v>0</v>
      </c>
      <c r="C27" s="6" t="n">
        <v>0</v>
      </c>
      <c r="D27" s="6" t="n">
        <v>0</v>
      </c>
      <c r="E27" s="6" t="n">
        <v>0</v>
      </c>
      <c r="F27" s="6" t="n">
        <v>0</v>
      </c>
    </row>
    <row r="28">
      <c r="A28" t="inlineStr">
        <is>
          <t>Base — Platform $</t>
        </is>
      </c>
      <c r="B28" s="6" t="n">
        <v>0</v>
      </c>
      <c r="C28" s="6" t="n">
        <v>0</v>
      </c>
      <c r="D28" s="6" t="n">
        <v>500000</v>
      </c>
      <c r="E28" s="6" t="n">
        <v>1500000</v>
      </c>
      <c r="F28" s="6" t="n">
        <v>3000000</v>
      </c>
    </row>
    <row r="29">
      <c r="A29" t="inlineStr">
        <is>
          <t>Bull — Platform $</t>
        </is>
      </c>
      <c r="B29" s="6" t="n">
        <v>0</v>
      </c>
      <c r="C29" s="6" t="n">
        <v>0</v>
      </c>
      <c r="D29" s="6" t="n">
        <v>1500000</v>
      </c>
      <c r="E29" s="6" t="n">
        <v>3500000</v>
      </c>
      <c r="F29" s="6" t="n">
        <v>6500000</v>
      </c>
    </row>
    <row r="31">
      <c r="A31" s="4" t="inlineStr">
        <is>
          <t>PASSPORT WORKERS (cumulative, free)</t>
        </is>
      </c>
    </row>
    <row r="32">
      <c r="A32" t="inlineStr">
        <is>
          <t>Bear — Workers</t>
        </is>
      </c>
      <c r="B32" s="5" t="n">
        <v>1000</v>
      </c>
      <c r="C32" s="5" t="n">
        <v>8000</v>
      </c>
      <c r="D32" s="5" t="n">
        <v>40000</v>
      </c>
      <c r="E32" s="5" t="n">
        <v>120000</v>
      </c>
      <c r="F32" s="5" t="n">
        <v>250000</v>
      </c>
    </row>
    <row r="33">
      <c r="A33" t="inlineStr">
        <is>
          <t>Base — Workers</t>
        </is>
      </c>
      <c r="B33" s="5" t="n">
        <v>2000</v>
      </c>
      <c r="C33" s="5" t="n">
        <v>15000</v>
      </c>
      <c r="D33" s="5" t="n">
        <v>75000</v>
      </c>
      <c r="E33" s="5" t="n">
        <v>250000</v>
      </c>
      <c r="F33" s="5" t="n">
        <v>600000</v>
      </c>
    </row>
    <row r="34">
      <c r="A34" t="inlineStr">
        <is>
          <t>Bull — Workers</t>
        </is>
      </c>
      <c r="B34" s="5" t="n">
        <v>5000</v>
      </c>
      <c r="C34" s="5" t="n">
        <v>40000</v>
      </c>
      <c r="D34" s="5" t="n">
        <v>200000</v>
      </c>
      <c r="E34" s="5" t="n">
        <v>700000</v>
      </c>
      <c r="F34" s="5" t="n">
        <v>1500000</v>
      </c>
    </row>
    <row r="36">
      <c r="A36" s="4" t="inlineStr">
        <is>
          <t>CACHED-REPLAY % (API margin uplift)</t>
        </is>
      </c>
    </row>
    <row r="37">
      <c r="A37" t="inlineStr">
        <is>
          <t>Bear — Cache %</t>
        </is>
      </c>
      <c r="B37" s="7" t="n">
        <v>0</v>
      </c>
      <c r="C37" s="7" t="n">
        <v>0.05</v>
      </c>
      <c r="D37" s="7" t="n">
        <v>0.15</v>
      </c>
      <c r="E37" s="7" t="n">
        <v>0.3</v>
      </c>
      <c r="F37" s="7" t="n">
        <v>0.45</v>
      </c>
    </row>
    <row r="38">
      <c r="A38" t="inlineStr">
        <is>
          <t>Base — Cache %</t>
        </is>
      </c>
      <c r="B38" s="7" t="n">
        <v>0</v>
      </c>
      <c r="C38" s="7" t="n">
        <v>0.15</v>
      </c>
      <c r="D38" s="7" t="n">
        <v>0.35</v>
      </c>
      <c r="E38" s="7" t="n">
        <v>0.55</v>
      </c>
      <c r="F38" s="7" t="n">
        <v>0.7</v>
      </c>
    </row>
    <row r="39">
      <c r="A39" t="inlineStr">
        <is>
          <t>Bull — Cache %</t>
        </is>
      </c>
      <c r="B39" s="7" t="n">
        <v>0.05</v>
      </c>
      <c r="C39" s="7" t="n">
        <v>0.25</v>
      </c>
      <c r="D39" s="7" t="n">
        <v>0.5</v>
      </c>
      <c r="E39" s="7" t="n">
        <v>0.7</v>
      </c>
      <c r="F39" s="7" t="n">
        <v>0.85</v>
      </c>
    </row>
    <row r="41">
      <c r="A41" s="4" t="inlineStr">
        <is>
          <t>GLOBAL DRIVERS</t>
        </is>
      </c>
    </row>
    <row r="42">
      <c r="A42" t="inlineStr">
        <is>
          <t>Gross margin — raw API (no cache)</t>
        </is>
      </c>
      <c r="B42" s="7" t="n">
        <v>0.4</v>
      </c>
    </row>
    <row r="43">
      <c r="A43" t="inlineStr">
        <is>
          <t>Gross margin — cached API (100% cache)</t>
        </is>
      </c>
      <c r="B43" s="7" t="n">
        <v>0.92</v>
      </c>
    </row>
    <row r="44">
      <c r="A44" t="inlineStr">
        <is>
          <t>Gross margin — Connect SaaS</t>
        </is>
      </c>
      <c r="B44" s="7" t="n">
        <v>0.85</v>
      </c>
    </row>
    <row r="45">
      <c r="A45" t="inlineStr">
        <is>
          <t>Discount rate (DCF)</t>
        </is>
      </c>
      <c r="B45" s="7" t="n">
        <v>0.3</v>
      </c>
    </row>
    <row r="46">
      <c r="A46" t="inlineStr">
        <is>
          <t>Y5 exit multiple (ARR)</t>
        </is>
      </c>
      <c r="B46" s="8" t="n">
        <v>8</v>
      </c>
    </row>
    <row r="47">
      <c r="A47" t="inlineStr">
        <is>
          <t>NRR target</t>
        </is>
      </c>
      <c r="B47" s="7" t="n">
        <v>1.3</v>
      </c>
    </row>
    <row r="48">
      <c r="A48" t="inlineStr">
        <is>
          <t>GRR target</t>
        </is>
      </c>
      <c r="B48" s="7" t="n">
        <v>0.9</v>
      </c>
    </row>
    <row r="50">
      <c r="A50" s="4" t="inlineStr">
        <is>
          <t>ACTIVE CASE (1=Bear, 2=Base, 3=Bull)</t>
        </is>
      </c>
      <c r="B50" s="9" t="n">
        <v>2</v>
      </c>
    </row>
    <row r="52">
      <c r="A52" s="4" t="inlineStr">
        <is>
          <t>RAISE TARGET</t>
        </is>
      </c>
    </row>
    <row r="53">
      <c r="A53" t="inlineStr">
        <is>
          <t>Post-money cap</t>
        </is>
      </c>
      <c r="B53" s="6" t="n">
        <v>15000000</v>
      </c>
    </row>
    <row r="54">
      <c r="A54" t="inlineStr">
        <is>
          <t>Target raise</t>
        </is>
      </c>
      <c r="B54" s="6" t="n">
        <v>2250000</v>
      </c>
    </row>
    <row r="55">
      <c r="A55" t="inlineStr">
        <is>
          <t>Hard cap raise</t>
        </is>
      </c>
      <c r="B55" s="6" t="n">
        <v>2750000</v>
      </c>
    </row>
    <row r="56">
      <c r="A56" t="inlineStr">
        <is>
          <t>Target SAFE pool (% post-money)</t>
        </is>
      </c>
      <c r="B56" s="10">
        <f>B54/B53</f>
        <v/>
      </c>
    </row>
    <row r="57">
      <c r="A57" t="inlineStr">
        <is>
          <t>Hard cap SAFE pool (% post-money)</t>
        </is>
      </c>
      <c r="B57" s="10">
        <f>B55/B53</f>
        <v/>
      </c>
    </row>
    <row r="58">
      <c r="A58" t="inlineStr">
        <is>
          <t>Target pre-money valuation</t>
        </is>
      </c>
      <c r="B58" s="11">
        <f>B53-B54</f>
        <v/>
      </c>
    </row>
    <row r="59">
      <c r="A59" t="inlineStr">
        <is>
          <t>Hard cap pre-money valuation</t>
        </is>
      </c>
      <c r="B59" s="11">
        <f>B53-B55</f>
        <v/>
      </c>
    </row>
    <row r="62">
      <c r="A62" s="19" t="inlineStr">
        <is>
          <t>PILOT BOOKINGS (new 90-day pilots/yr — one-time $12K)</t>
        </is>
      </c>
    </row>
    <row r="63">
      <c r="A63" t="inlineStr">
        <is>
          <t>Bear -- new pilots</t>
        </is>
      </c>
      <c r="B63" t="n">
        <v>5</v>
      </c>
      <c r="C63" t="n">
        <v>20</v>
      </c>
      <c r="D63" t="n">
        <v>40</v>
      </c>
      <c r="E63" t="n">
        <v>60</v>
      </c>
      <c r="F63" t="n">
        <v>80</v>
      </c>
    </row>
    <row r="64">
      <c r="A64" t="inlineStr">
        <is>
          <t>Base -- new pilots</t>
        </is>
      </c>
      <c r="B64" t="n">
        <v>8</v>
      </c>
      <c r="C64" t="n">
        <v>30</v>
      </c>
      <c r="D64" t="n">
        <v>60</v>
      </c>
      <c r="E64" t="n">
        <v>90</v>
      </c>
      <c r="F64" t="n">
        <v>120</v>
      </c>
    </row>
    <row r="65">
      <c r="A65" t="inlineStr">
        <is>
          <t>Bull -- new pilots</t>
        </is>
      </c>
      <c r="B65" t="n">
        <v>12</v>
      </c>
      <c r="C65" t="n">
        <v>40</v>
      </c>
      <c r="D65" t="n">
        <v>80</v>
      </c>
      <c r="E65" t="n">
        <v>120</v>
      </c>
      <c r="F65" t="n">
        <v>160</v>
      </c>
    </row>
    <row r="67">
      <c r="A67" t="inlineStr">
        <is>
          <t>Pilot fee (one-time)</t>
        </is>
      </c>
      <c r="B67" t="n">
        <v>12000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44"/>
  <sheetViews>
    <sheetView workbookViewId="0">
      <selection activeCell="A1" sqref="A1"/>
    </sheetView>
  </sheetViews>
  <sheetFormatPr baseColWidth="8" defaultRowHeight="15"/>
  <cols>
    <col width="35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  <col width="16" customWidth="1" min="7" max="7"/>
  </cols>
  <sheetData>
    <row r="1">
      <c r="A1" s="1" t="inlineStr">
        <is>
          <t>Revenue Build — All Cases</t>
        </is>
      </c>
    </row>
    <row r="2">
      <c r="A2" s="2" t="inlineStr">
        <is>
          <t>Connect ARR = logos × ACV. API ARR = customers × ACV. Total includes Platform one-offs.</t>
        </is>
      </c>
    </row>
    <row r="4">
      <c r="A4" s="3" t="inlineStr">
        <is>
          <t>Metric</t>
        </is>
      </c>
      <c r="B4" s="3" t="inlineStr">
        <is>
          <t>Y1 (2026)</t>
        </is>
      </c>
      <c r="C4" s="3" t="inlineStr">
        <is>
          <t>Y2 (2027)</t>
        </is>
      </c>
      <c r="D4" s="3" t="inlineStr">
        <is>
          <t>Y3 (2028)</t>
        </is>
      </c>
      <c r="E4" s="3" t="inlineStr">
        <is>
          <t>Y4 (2029)</t>
        </is>
      </c>
      <c r="F4" s="3" t="inlineStr">
        <is>
          <t>Y5 (2030)</t>
        </is>
      </c>
    </row>
    <row r="6">
      <c r="A6" s="4" t="inlineStr">
        <is>
          <t>BEAR CASE</t>
        </is>
      </c>
    </row>
    <row r="7">
      <c r="A7" s="12" t="inlineStr">
        <is>
          <t xml:space="preserve">  Connect logos</t>
        </is>
      </c>
      <c r="B7" s="13">
        <f>ASSUMPTIONS!B7</f>
        <v/>
      </c>
      <c r="C7" s="13">
        <f>ASSUMPTIONS!C7</f>
        <v/>
      </c>
      <c r="D7" s="13">
        <f>ASSUMPTIONS!D7</f>
        <v/>
      </c>
      <c r="E7" s="13">
        <f>ASSUMPTIONS!E7</f>
        <v/>
      </c>
      <c r="F7" s="13">
        <f>ASSUMPTIONS!F7</f>
        <v/>
      </c>
    </row>
    <row r="8">
      <c r="A8" s="12" t="inlineStr">
        <is>
          <t xml:space="preserve">  Connect ACV</t>
        </is>
      </c>
      <c r="B8" s="11">
        <f>ASSUMPTIONS!B12</f>
        <v/>
      </c>
      <c r="C8" s="11">
        <f>ASSUMPTIONS!C12</f>
        <v/>
      </c>
      <c r="D8" s="11">
        <f>ASSUMPTIONS!D12</f>
        <v/>
      </c>
      <c r="E8" s="11">
        <f>ASSUMPTIONS!E12</f>
        <v/>
      </c>
      <c r="F8" s="11">
        <f>ASSUMPTIONS!F12</f>
        <v/>
      </c>
    </row>
    <row r="9">
      <c r="A9" s="14" t="inlineStr">
        <is>
          <t xml:space="preserve">  Connect ARR</t>
        </is>
      </c>
      <c r="B9" s="11">
        <f>B7*B8</f>
        <v/>
      </c>
      <c r="C9" s="11">
        <f>C7*C8</f>
        <v/>
      </c>
      <c r="D9" s="11">
        <f>D7*D8</f>
        <v/>
      </c>
      <c r="E9" s="11">
        <f>E7*E8</f>
        <v/>
      </c>
      <c r="F9" s="11">
        <f>F7*F8</f>
        <v/>
      </c>
    </row>
    <row r="10">
      <c r="A10" s="12" t="inlineStr">
        <is>
          <t xml:space="preserve">  API customers</t>
        </is>
      </c>
      <c r="B10" s="13">
        <f>ASSUMPTIONS!B17</f>
        <v/>
      </c>
      <c r="C10" s="13">
        <f>ASSUMPTIONS!C17</f>
        <v/>
      </c>
      <c r="D10" s="13">
        <f>ASSUMPTIONS!D17</f>
        <v/>
      </c>
      <c r="E10" s="13">
        <f>ASSUMPTIONS!E17</f>
        <v/>
      </c>
      <c r="F10" s="13">
        <f>ASSUMPTIONS!F17</f>
        <v/>
      </c>
    </row>
    <row r="11">
      <c r="A11" s="12" t="inlineStr">
        <is>
          <t xml:space="preserve">  API ACV</t>
        </is>
      </c>
      <c r="B11" s="11">
        <f>ASSUMPTIONS!B22</f>
        <v/>
      </c>
      <c r="C11" s="11">
        <f>ASSUMPTIONS!C22</f>
        <v/>
      </c>
      <c r="D11" s="11">
        <f>ASSUMPTIONS!D22</f>
        <v/>
      </c>
      <c r="E11" s="11">
        <f>ASSUMPTIONS!E22</f>
        <v/>
      </c>
      <c r="F11" s="11">
        <f>ASSUMPTIONS!F22</f>
        <v/>
      </c>
    </row>
    <row r="12">
      <c r="A12" s="14" t="inlineStr">
        <is>
          <t xml:space="preserve">  API ARR</t>
        </is>
      </c>
      <c r="B12" s="11">
        <f>B10*B11</f>
        <v/>
      </c>
      <c r="C12" s="11">
        <f>C10*C11</f>
        <v/>
      </c>
      <c r="D12" s="11">
        <f>D10*D11</f>
        <v/>
      </c>
      <c r="E12" s="11">
        <f>E10*E11</f>
        <v/>
      </c>
      <c r="F12" s="11">
        <f>F10*F11</f>
        <v/>
      </c>
    </row>
    <row r="13">
      <c r="A13" s="12" t="inlineStr">
        <is>
          <t xml:space="preserve">  Platform contracts</t>
        </is>
      </c>
      <c r="B13" s="11">
        <f>ASSUMPTIONS!B27</f>
        <v/>
      </c>
      <c r="C13" s="11">
        <f>ASSUMPTIONS!C27</f>
        <v/>
      </c>
      <c r="D13" s="11">
        <f>ASSUMPTIONS!D27</f>
        <v/>
      </c>
      <c r="E13" s="11">
        <f>ASSUMPTIONS!E27</f>
        <v/>
      </c>
      <c r="F13" s="11">
        <f>ASSUMPTIONS!F27</f>
        <v/>
      </c>
    </row>
    <row r="14">
      <c r="A14" s="15" t="inlineStr">
        <is>
          <t xml:space="preserve">  TOTAL BEAR ARR</t>
        </is>
      </c>
      <c r="B14" s="16">
        <f>B9+B12+B13</f>
        <v/>
      </c>
      <c r="C14" s="16">
        <f>C9+C12+C13</f>
        <v/>
      </c>
      <c r="D14" s="16">
        <f>D9+D12+D13</f>
        <v/>
      </c>
      <c r="E14" s="16">
        <f>E9+E12+E13</f>
        <v/>
      </c>
      <c r="F14" s="16">
        <f>F9+F12+F13</f>
        <v/>
      </c>
    </row>
    <row r="16">
      <c r="A16" s="4" t="inlineStr">
        <is>
          <t>BASE CASE</t>
        </is>
      </c>
    </row>
    <row r="17">
      <c r="A17" s="12" t="inlineStr">
        <is>
          <t xml:space="preserve">  Connect logos</t>
        </is>
      </c>
      <c r="B17" s="13">
        <f>ASSUMPTIONS!B8</f>
        <v/>
      </c>
      <c r="C17" s="13">
        <f>ASSUMPTIONS!C8</f>
        <v/>
      </c>
      <c r="D17" s="13">
        <f>ASSUMPTIONS!D8</f>
        <v/>
      </c>
      <c r="E17" s="13">
        <f>ASSUMPTIONS!E8</f>
        <v/>
      </c>
      <c r="F17" s="13">
        <f>ASSUMPTIONS!F8</f>
        <v/>
      </c>
    </row>
    <row r="18">
      <c r="A18" s="12" t="inlineStr">
        <is>
          <t xml:space="preserve">  Connect ACV</t>
        </is>
      </c>
      <c r="B18" s="11">
        <f>ASSUMPTIONS!B13</f>
        <v/>
      </c>
      <c r="C18" s="11">
        <f>ASSUMPTIONS!C13</f>
        <v/>
      </c>
      <c r="D18" s="11">
        <f>ASSUMPTIONS!D13</f>
        <v/>
      </c>
      <c r="E18" s="11">
        <f>ASSUMPTIONS!E13</f>
        <v/>
      </c>
      <c r="F18" s="11">
        <f>ASSUMPTIONS!F13</f>
        <v/>
      </c>
    </row>
    <row r="19">
      <c r="A19" s="14" t="inlineStr">
        <is>
          <t xml:space="preserve">  Connect ARR</t>
        </is>
      </c>
      <c r="B19" s="11">
        <f>B17*B18</f>
        <v/>
      </c>
      <c r="C19" s="11">
        <f>C17*C18</f>
        <v/>
      </c>
      <c r="D19" s="11">
        <f>D17*D18</f>
        <v/>
      </c>
      <c r="E19" s="11">
        <f>E17*E18</f>
        <v/>
      </c>
      <c r="F19" s="11">
        <f>F17*F18</f>
        <v/>
      </c>
    </row>
    <row r="20">
      <c r="A20" s="12" t="inlineStr">
        <is>
          <t xml:space="preserve">  API customers</t>
        </is>
      </c>
      <c r="B20" s="13">
        <f>ASSUMPTIONS!B18</f>
        <v/>
      </c>
      <c r="C20" s="13">
        <f>ASSUMPTIONS!C18</f>
        <v/>
      </c>
      <c r="D20" s="13">
        <f>ASSUMPTIONS!D18</f>
        <v/>
      </c>
      <c r="E20" s="13">
        <f>ASSUMPTIONS!E18</f>
        <v/>
      </c>
      <c r="F20" s="13">
        <f>ASSUMPTIONS!F18</f>
        <v/>
      </c>
    </row>
    <row r="21">
      <c r="A21" s="12" t="inlineStr">
        <is>
          <t xml:space="preserve">  API ACV</t>
        </is>
      </c>
      <c r="B21" s="11">
        <f>ASSUMPTIONS!B23</f>
        <v/>
      </c>
      <c r="C21" s="11">
        <f>ASSUMPTIONS!C23</f>
        <v/>
      </c>
      <c r="D21" s="11">
        <f>ASSUMPTIONS!D23</f>
        <v/>
      </c>
      <c r="E21" s="11">
        <f>ASSUMPTIONS!E23</f>
        <v/>
      </c>
      <c r="F21" s="11">
        <f>ASSUMPTIONS!F23</f>
        <v/>
      </c>
    </row>
    <row r="22">
      <c r="A22" s="14" t="inlineStr">
        <is>
          <t xml:space="preserve">  API ARR</t>
        </is>
      </c>
      <c r="B22" s="11">
        <f>B20*B21</f>
        <v/>
      </c>
      <c r="C22" s="11">
        <f>C20*C21</f>
        <v/>
      </c>
      <c r="D22" s="11">
        <f>D20*D21</f>
        <v/>
      </c>
      <c r="E22" s="11">
        <f>E20*E21</f>
        <v/>
      </c>
      <c r="F22" s="11">
        <f>F20*F21</f>
        <v/>
      </c>
    </row>
    <row r="23">
      <c r="A23" s="12" t="inlineStr">
        <is>
          <t xml:space="preserve">  Platform contracts</t>
        </is>
      </c>
      <c r="B23" s="11">
        <f>ASSUMPTIONS!B28</f>
        <v/>
      </c>
      <c r="C23" s="11">
        <f>ASSUMPTIONS!C28</f>
        <v/>
      </c>
      <c r="D23" s="11">
        <f>ASSUMPTIONS!D28</f>
        <v/>
      </c>
      <c r="E23" s="11">
        <f>ASSUMPTIONS!E28</f>
        <v/>
      </c>
      <c r="F23" s="11">
        <f>ASSUMPTIONS!F28</f>
        <v/>
      </c>
    </row>
    <row r="24">
      <c r="A24" s="15" t="inlineStr">
        <is>
          <t xml:space="preserve">  TOTAL BASE ARR</t>
        </is>
      </c>
      <c r="B24" s="16">
        <f>B19+B22+B23</f>
        <v/>
      </c>
      <c r="C24" s="16">
        <f>C19+C22+C23</f>
        <v/>
      </c>
      <c r="D24" s="16">
        <f>D19+D22+D23</f>
        <v/>
      </c>
      <c r="E24" s="16">
        <f>E19+E22+E23</f>
        <v/>
      </c>
      <c r="F24" s="16">
        <f>F19+F22+F23</f>
        <v/>
      </c>
    </row>
    <row r="26">
      <c r="A26" s="4" t="inlineStr">
        <is>
          <t>BULL CASE</t>
        </is>
      </c>
    </row>
    <row r="27">
      <c r="A27" s="12" t="inlineStr">
        <is>
          <t xml:space="preserve">  Connect logos</t>
        </is>
      </c>
      <c r="B27" s="13">
        <f>ASSUMPTIONS!B9</f>
        <v/>
      </c>
      <c r="C27" s="13">
        <f>ASSUMPTIONS!C9</f>
        <v/>
      </c>
      <c r="D27" s="13">
        <f>ASSUMPTIONS!D9</f>
        <v/>
      </c>
      <c r="E27" s="13">
        <f>ASSUMPTIONS!E9</f>
        <v/>
      </c>
      <c r="F27" s="13">
        <f>ASSUMPTIONS!F9</f>
        <v/>
      </c>
    </row>
    <row r="28">
      <c r="A28" s="12" t="inlineStr">
        <is>
          <t xml:space="preserve">  Connect ACV</t>
        </is>
      </c>
      <c r="B28" s="11">
        <f>ASSUMPTIONS!B14</f>
        <v/>
      </c>
      <c r="C28" s="11">
        <f>ASSUMPTIONS!C14</f>
        <v/>
      </c>
      <c r="D28" s="11">
        <f>ASSUMPTIONS!D14</f>
        <v/>
      </c>
      <c r="E28" s="11">
        <f>ASSUMPTIONS!E14</f>
        <v/>
      </c>
      <c r="F28" s="11">
        <f>ASSUMPTIONS!F14</f>
        <v/>
      </c>
    </row>
    <row r="29">
      <c r="A29" s="14" t="inlineStr">
        <is>
          <t xml:space="preserve">  Connect ARR</t>
        </is>
      </c>
      <c r="B29" s="11">
        <f>B27*B28</f>
        <v/>
      </c>
      <c r="C29" s="11">
        <f>C27*C28</f>
        <v/>
      </c>
      <c r="D29" s="11">
        <f>D27*D28</f>
        <v/>
      </c>
      <c r="E29" s="11">
        <f>E27*E28</f>
        <v/>
      </c>
      <c r="F29" s="11">
        <f>F27*F28</f>
        <v/>
      </c>
    </row>
    <row r="30">
      <c r="A30" s="12" t="inlineStr">
        <is>
          <t xml:space="preserve">  API customers</t>
        </is>
      </c>
      <c r="B30" s="13">
        <f>ASSUMPTIONS!B19</f>
        <v/>
      </c>
      <c r="C30" s="13">
        <f>ASSUMPTIONS!C19</f>
        <v/>
      </c>
      <c r="D30" s="13">
        <f>ASSUMPTIONS!D19</f>
        <v/>
      </c>
      <c r="E30" s="13">
        <f>ASSUMPTIONS!E19</f>
        <v/>
      </c>
      <c r="F30" s="13">
        <f>ASSUMPTIONS!F19</f>
        <v/>
      </c>
    </row>
    <row r="31">
      <c r="A31" s="12" t="inlineStr">
        <is>
          <t xml:space="preserve">  API ACV</t>
        </is>
      </c>
      <c r="B31" s="11">
        <f>ASSUMPTIONS!B24</f>
        <v/>
      </c>
      <c r="C31" s="11">
        <f>ASSUMPTIONS!C24</f>
        <v/>
      </c>
      <c r="D31" s="11">
        <f>ASSUMPTIONS!D24</f>
        <v/>
      </c>
      <c r="E31" s="11">
        <f>ASSUMPTIONS!E24</f>
        <v/>
      </c>
      <c r="F31" s="11">
        <f>ASSUMPTIONS!F24</f>
        <v/>
      </c>
    </row>
    <row r="32">
      <c r="A32" s="14" t="inlineStr">
        <is>
          <t xml:space="preserve">  API ARR</t>
        </is>
      </c>
      <c r="B32" s="11">
        <f>B30*B31</f>
        <v/>
      </c>
      <c r="C32" s="11">
        <f>C30*C31</f>
        <v/>
      </c>
      <c r="D32" s="11">
        <f>D30*D31</f>
        <v/>
      </c>
      <c r="E32" s="11">
        <f>E30*E31</f>
        <v/>
      </c>
      <c r="F32" s="11">
        <f>F30*F31</f>
        <v/>
      </c>
    </row>
    <row r="33">
      <c r="A33" s="12" t="inlineStr">
        <is>
          <t xml:space="preserve">  Platform contracts</t>
        </is>
      </c>
      <c r="B33" s="11">
        <f>ASSUMPTIONS!B29</f>
        <v/>
      </c>
      <c r="C33" s="11">
        <f>ASSUMPTIONS!C29</f>
        <v/>
      </c>
      <c r="D33" s="11">
        <f>ASSUMPTIONS!D29</f>
        <v/>
      </c>
      <c r="E33" s="11">
        <f>ASSUMPTIONS!E29</f>
        <v/>
      </c>
      <c r="F33" s="11">
        <f>ASSUMPTIONS!F29</f>
        <v/>
      </c>
    </row>
    <row r="34">
      <c r="A34" s="15" t="inlineStr">
        <is>
          <t xml:space="preserve">  TOTAL BULL ARR</t>
        </is>
      </c>
      <c r="B34" s="16">
        <f>B29+B32+B33</f>
        <v/>
      </c>
      <c r="C34" s="16">
        <f>C29+C32+C33</f>
        <v/>
      </c>
      <c r="D34" s="16">
        <f>D29+D32+D33</f>
        <v/>
      </c>
      <c r="E34" s="16">
        <f>E29+E32+E33</f>
        <v/>
      </c>
      <c r="F34" s="16">
        <f>F29+F32+F33</f>
        <v/>
      </c>
    </row>
    <row r="36">
      <c r="A36" s="19" t="inlineStr">
        <is>
          <t>PILOT BOOKINGS (one-time, non-ACV — recognized as services revenue)</t>
        </is>
      </c>
    </row>
    <row r="37">
      <c r="A37" t="inlineStr">
        <is>
          <t xml:space="preserve">  Bear -- new pilots</t>
        </is>
      </c>
      <c r="B37">
        <f>ASSUMPTIONS!B63</f>
        <v/>
      </c>
      <c r="C37">
        <f>ASSUMPTIONS!C63</f>
        <v/>
      </c>
      <c r="D37">
        <f>ASSUMPTIONS!D63</f>
        <v/>
      </c>
      <c r="E37">
        <f>ASSUMPTIONS!E63</f>
        <v/>
      </c>
      <c r="F37">
        <f>ASSUMPTIONS!F63</f>
        <v/>
      </c>
    </row>
    <row r="38">
      <c r="A38" t="inlineStr">
        <is>
          <t xml:space="preserve">  Bear -- pilot bookings $</t>
        </is>
      </c>
      <c r="B38">
        <f>B37*ASSUMPTIONS!B67</f>
        <v/>
      </c>
      <c r="C38">
        <f>C37*ASSUMPTIONS!B67</f>
        <v/>
      </c>
      <c r="D38">
        <f>D37*ASSUMPTIONS!B67</f>
        <v/>
      </c>
      <c r="E38">
        <f>E37*ASSUMPTIONS!B67</f>
        <v/>
      </c>
      <c r="F38">
        <f>F37*ASSUMPTIONS!B67</f>
        <v/>
      </c>
    </row>
    <row r="39">
      <c r="A39" t="inlineStr">
        <is>
          <t xml:space="preserve">  Base -- new pilots</t>
        </is>
      </c>
      <c r="B39">
        <f>ASSUMPTIONS!B64</f>
        <v/>
      </c>
      <c r="C39">
        <f>ASSUMPTIONS!C64</f>
        <v/>
      </c>
      <c r="D39">
        <f>ASSUMPTIONS!D64</f>
        <v/>
      </c>
      <c r="E39">
        <f>ASSUMPTIONS!E64</f>
        <v/>
      </c>
      <c r="F39">
        <f>ASSUMPTIONS!F64</f>
        <v/>
      </c>
    </row>
    <row r="40">
      <c r="A40" t="inlineStr">
        <is>
          <t xml:space="preserve">  Base -- pilot bookings $</t>
        </is>
      </c>
      <c r="B40">
        <f>B39*ASSUMPTIONS!B67</f>
        <v/>
      </c>
      <c r="C40">
        <f>C39*ASSUMPTIONS!B67</f>
        <v/>
      </c>
      <c r="D40">
        <f>D39*ASSUMPTIONS!B67</f>
        <v/>
      </c>
      <c r="E40">
        <f>E39*ASSUMPTIONS!B67</f>
        <v/>
      </c>
      <c r="F40">
        <f>F39*ASSUMPTIONS!B67</f>
        <v/>
      </c>
    </row>
    <row r="41">
      <c r="A41" t="inlineStr">
        <is>
          <t xml:space="preserve">  Bull -- new pilots</t>
        </is>
      </c>
      <c r="B41">
        <f>ASSUMPTIONS!B65</f>
        <v/>
      </c>
      <c r="C41">
        <f>ASSUMPTIONS!C65</f>
        <v/>
      </c>
      <c r="D41">
        <f>ASSUMPTIONS!D65</f>
        <v/>
      </c>
      <c r="E41">
        <f>ASSUMPTIONS!E65</f>
        <v/>
      </c>
      <c r="F41">
        <f>ASSUMPTIONS!F65</f>
        <v/>
      </c>
    </row>
    <row r="42">
      <c r="A42" t="inlineStr">
        <is>
          <t xml:space="preserve">  Bull -- pilot bookings $</t>
        </is>
      </c>
      <c r="B42">
        <f>B41*ASSUMPTIONS!B67</f>
        <v/>
      </c>
      <c r="C42">
        <f>C41*ASSUMPTIONS!B67</f>
        <v/>
      </c>
      <c r="D42">
        <f>D41*ASSUMPTIONS!B67</f>
        <v/>
      </c>
      <c r="E42">
        <f>E41*ASSUMPTIONS!B67</f>
        <v/>
      </c>
      <c r="F42">
        <f>F41*ASSUMPTIONS!B67</f>
        <v/>
      </c>
    </row>
    <row r="44">
      <c r="A44" t="inlineStr">
        <is>
          <t xml:space="preserve">  TOTAL Y1-Y5 Pilot bookings (Base, cumulative)</t>
        </is>
      </c>
      <c r="B44">
        <f>SUM(B40:F40)</f>
        <v/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F48"/>
  <sheetViews>
    <sheetView workbookViewId="0">
      <selection activeCell="A1" sqref="A1"/>
    </sheetView>
  </sheetViews>
  <sheetFormatPr baseColWidth="8" defaultRowHeight="15"/>
  <cols>
    <col width="38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  <col width="16" customWidth="1" min="7" max="7"/>
  </cols>
  <sheetData>
    <row r="1">
      <c r="A1" s="1" t="inlineStr">
        <is>
          <t>Cost Build</t>
        </is>
      </c>
    </row>
    <row r="2">
      <c r="A2" s="2" t="inlineStr">
        <is>
          <t>Headcount, vendor, S&amp;M, R&amp;D, G&amp;A by year. Year 1 grounded in known vendor stack.</t>
        </is>
      </c>
    </row>
    <row r="4">
      <c r="A4" s="3" t="inlineStr">
        <is>
          <t>Cost Category</t>
        </is>
      </c>
      <c r="B4" s="3" t="inlineStr">
        <is>
          <t>Y1 (2026)</t>
        </is>
      </c>
      <c r="C4" s="3" t="inlineStr">
        <is>
          <t>Y2 (2027)</t>
        </is>
      </c>
      <c r="D4" s="3" t="inlineStr">
        <is>
          <t>Y3 (2028)</t>
        </is>
      </c>
      <c r="E4" s="3" t="inlineStr">
        <is>
          <t>Y4 (2029)</t>
        </is>
      </c>
      <c r="F4" s="3" t="inlineStr">
        <is>
          <t>Y5 (2030)</t>
        </is>
      </c>
    </row>
    <row r="6">
      <c r="A6" s="4" t="inlineStr">
        <is>
          <t>FOUNDER SALARIES</t>
        </is>
      </c>
    </row>
    <row r="7">
      <c r="A7" t="inlineStr">
        <is>
          <t xml:space="preserve">  Giles (CEO)</t>
        </is>
      </c>
      <c r="B7" s="6" t="n">
        <v>96000</v>
      </c>
      <c r="C7" s="6" t="n">
        <v>115000</v>
      </c>
      <c r="D7" s="6" t="n">
        <v>130000</v>
      </c>
      <c r="E7" s="6" t="n">
        <v>150000</v>
      </c>
      <c r="F7" s="6" t="n">
        <v>175000</v>
      </c>
    </row>
    <row r="8">
      <c r="A8" t="inlineStr">
        <is>
          <t xml:space="preserve">  Christian (CTO)</t>
        </is>
      </c>
      <c r="B8" s="6" t="n">
        <v>79000</v>
      </c>
      <c r="C8" s="6" t="n">
        <v>95000</v>
      </c>
      <c r="D8" s="6" t="n">
        <v>110000</v>
      </c>
      <c r="E8" s="6" t="n">
        <v>130000</v>
      </c>
      <c r="F8" s="6" t="n">
        <v>150000</v>
      </c>
    </row>
    <row r="9">
      <c r="A9" t="inlineStr">
        <is>
          <t xml:space="preserve">  Doutche (COO/Eng)</t>
        </is>
      </c>
      <c r="B9" s="6" t="n">
        <v>71000</v>
      </c>
      <c r="C9" s="6" t="n">
        <v>85000</v>
      </c>
      <c r="D9" s="6" t="n">
        <v>100000</v>
      </c>
      <c r="E9" s="6" t="n">
        <v>115000</v>
      </c>
      <c r="F9" s="6" t="n">
        <v>130000</v>
      </c>
    </row>
    <row r="10">
      <c r="A10" t="inlineStr">
        <is>
          <t xml:space="preserve">  Founder total</t>
        </is>
      </c>
      <c r="B10" s="17">
        <f>SUM(B7:B9)</f>
        <v/>
      </c>
      <c r="C10" s="17">
        <f>SUM(C7:C9)</f>
        <v/>
      </c>
      <c r="D10" s="17">
        <f>SUM(D7:D9)</f>
        <v/>
      </c>
      <c r="E10" s="17">
        <f>SUM(E7:E9)</f>
        <v/>
      </c>
      <c r="F10" s="17">
        <f>SUM(F7:F9)</f>
        <v/>
      </c>
    </row>
    <row r="12">
      <c r="A12" s="4" t="inlineStr">
        <is>
          <t>ADDITIONAL HEADCOUNT (FTE count)</t>
        </is>
      </c>
    </row>
    <row r="13">
      <c r="A13" t="inlineStr">
        <is>
          <t xml:space="preserve">  Engineers (in-house)</t>
        </is>
      </c>
      <c r="B13" s="5" t="n">
        <v>0</v>
      </c>
      <c r="C13" s="5" t="n">
        <v>2</v>
      </c>
      <c r="D13" s="5" t="n">
        <v>5</v>
      </c>
      <c r="E13" s="5" t="n">
        <v>12</v>
      </c>
      <c r="F13" s="5" t="n">
        <v>25</v>
      </c>
    </row>
    <row r="14">
      <c r="A14" t="inlineStr">
        <is>
          <t xml:space="preserve">  GTM (sales / CS)</t>
        </is>
      </c>
      <c r="B14" s="5" t="n">
        <v>0</v>
      </c>
      <c r="C14" s="5" t="n">
        <v>1</v>
      </c>
      <c r="D14" s="5" t="n">
        <v>4</v>
      </c>
      <c r="E14" s="5" t="n">
        <v>10</v>
      </c>
      <c r="F14" s="5" t="n">
        <v>20</v>
      </c>
    </row>
    <row r="15">
      <c r="A15" t="inlineStr">
        <is>
          <t xml:space="preserve">  Ops + Compliance</t>
        </is>
      </c>
      <c r="B15" s="5" t="n">
        <v>0</v>
      </c>
      <c r="C15" s="5" t="n">
        <v>1</v>
      </c>
      <c r="D15" s="5" t="n">
        <v>2</v>
      </c>
      <c r="E15" s="5" t="n">
        <v>4</v>
      </c>
      <c r="F15" s="5" t="n">
        <v>8</v>
      </c>
    </row>
    <row r="16">
      <c r="A16" t="inlineStr">
        <is>
          <t xml:space="preserve">  Fully loaded cost / FTE</t>
        </is>
      </c>
      <c r="B16" s="6" t="n">
        <v>165000</v>
      </c>
      <c r="C16" s="6" t="n">
        <v>175000</v>
      </c>
      <c r="D16" s="6" t="n">
        <v>185000</v>
      </c>
      <c r="E16" s="6" t="n">
        <v>195000</v>
      </c>
      <c r="F16" s="6" t="n">
        <v>200000</v>
      </c>
    </row>
    <row r="17">
      <c r="A17" t="inlineStr">
        <is>
          <t xml:space="preserve">  Additional headcount cost</t>
        </is>
      </c>
      <c r="B17" s="11">
        <f>(B13+B14+B15)*B16</f>
        <v/>
      </c>
      <c r="C17" s="11">
        <f>(C13+C14+C15)*C16</f>
        <v/>
      </c>
      <c r="D17" s="11">
        <f>(D13+D14+D15)*D16</f>
        <v/>
      </c>
      <c r="E17" s="11">
        <f>(E13+E14+E15)*E16</f>
        <v/>
      </c>
      <c r="F17" s="11">
        <f>(F13+F14+F15)*F16</f>
        <v/>
      </c>
    </row>
    <row r="18">
      <c r="A18" s="18" t="inlineStr">
        <is>
          <t xml:space="preserve">  NAMSS-certified credentialing coordinator (M6 lean / M1 aggressive)</t>
        </is>
      </c>
      <c r="B18" s="6" t="n">
        <v>57000</v>
      </c>
      <c r="C18" s="6" t="n">
        <v>114000</v>
      </c>
      <c r="D18" s="6" t="n">
        <v>120000</v>
      </c>
      <c r="E18" s="6" t="n">
        <v>126000</v>
      </c>
      <c r="F18" s="6" t="n">
        <v>132000</v>
      </c>
    </row>
    <row r="19">
      <c r="A19" s="4" t="inlineStr">
        <is>
          <t>VENDOR STACK</t>
        </is>
      </c>
    </row>
    <row r="20">
      <c r="A20" s="12" t="inlineStr">
        <is>
          <t xml:space="preserve">  AWS HIPAA infra</t>
        </is>
      </c>
      <c r="B20" s="6" t="n">
        <v>5000</v>
      </c>
      <c r="C20" s="6" t="n">
        <v>18000</v>
      </c>
      <c r="D20" s="6" t="n">
        <v>60000</v>
      </c>
      <c r="E20" s="6" t="n">
        <v>180000</v>
      </c>
      <c r="F20" s="6" t="n">
        <v>450000</v>
      </c>
    </row>
    <row r="21">
      <c r="A21" s="12" t="inlineStr">
        <is>
          <t xml:space="preserve">  WorkOS SSO</t>
        </is>
      </c>
      <c r="B21" s="6" t="n">
        <v>3000</v>
      </c>
      <c r="C21" s="6" t="n">
        <v>8000</v>
      </c>
      <c r="D21" s="6" t="n">
        <v>25000</v>
      </c>
      <c r="E21" s="6" t="n">
        <v>65000</v>
      </c>
      <c r="F21" s="6" t="n">
        <v>150000</v>
      </c>
    </row>
    <row r="22">
      <c r="A22" s="12" t="inlineStr">
        <is>
          <t xml:space="preserve">  Anthropic Claude (Sonnet/Haiku)</t>
        </is>
      </c>
      <c r="B22" s="6" t="n">
        <v>12000</v>
      </c>
      <c r="C22" s="6" t="n">
        <v>50000</v>
      </c>
      <c r="D22" s="6" t="n">
        <v>200000</v>
      </c>
      <c r="E22" s="6" t="n">
        <v>600000</v>
      </c>
      <c r="F22" s="6" t="n">
        <v>1500000</v>
      </c>
    </row>
    <row r="23">
      <c r="A23" s="12" t="inlineStr">
        <is>
          <t xml:space="preserve">  Anthropic Claude Opus (Advisor)</t>
        </is>
      </c>
      <c r="B23" s="6" t="n">
        <v>3000</v>
      </c>
      <c r="C23" s="6" t="n">
        <v>12000</v>
      </c>
      <c r="D23" s="6" t="n">
        <v>40000</v>
      </c>
      <c r="E23" s="6" t="n">
        <v>100000</v>
      </c>
      <c r="F23" s="6" t="n">
        <v>200000</v>
      </c>
    </row>
    <row r="24">
      <c r="A24" s="12" t="inlineStr">
        <is>
          <t xml:space="preserve">  Checkr background</t>
        </is>
      </c>
      <c r="B24" s="6" t="n">
        <v>4500</v>
      </c>
      <c r="C24" s="6" t="n">
        <v>25000</v>
      </c>
      <c r="D24" s="6" t="n">
        <v>100000</v>
      </c>
      <c r="E24" s="6" t="n">
        <v>350000</v>
      </c>
      <c r="F24" s="6" t="n">
        <v>900000</v>
      </c>
    </row>
    <row r="25">
      <c r="A25" s="12" t="inlineStr">
        <is>
          <t xml:space="preserve">  Persona identity</t>
        </is>
      </c>
      <c r="B25" s="6" t="n">
        <v>0</v>
      </c>
      <c r="C25" s="6" t="n">
        <v>8000</v>
      </c>
      <c r="D25" s="6" t="n">
        <v>40000</v>
      </c>
      <c r="E25" s="6" t="n">
        <v>150000</v>
      </c>
      <c r="F25" s="6" t="n">
        <v>400000</v>
      </c>
    </row>
    <row r="26">
      <c r="A26" s="12" t="inlineStr">
        <is>
          <t xml:space="preserve">  Redox + HealthLake</t>
        </is>
      </c>
      <c r="B26" s="6" t="n">
        <v>22000</v>
      </c>
      <c r="C26" s="6" t="n">
        <v>35000</v>
      </c>
      <c r="D26" s="6" t="n">
        <v>75000</v>
      </c>
      <c r="E26" s="6" t="n">
        <v>150000</v>
      </c>
      <c r="F26" s="6" t="n">
        <v>300000</v>
      </c>
    </row>
    <row r="27">
      <c r="A27" s="12" t="inlineStr">
        <is>
          <t xml:space="preserve">  Drata SOC 2</t>
        </is>
      </c>
      <c r="B27" s="6" t="n">
        <v>10000</v>
      </c>
      <c r="C27" s="6" t="n">
        <v>14000</v>
      </c>
      <c r="D27" s="6" t="n">
        <v>18000</v>
      </c>
      <c r="E27" s="6" t="n">
        <v>22000</v>
      </c>
      <c r="F27" s="6" t="n">
        <v>26000</v>
      </c>
    </row>
    <row r="28">
      <c r="A28" s="12" t="inlineStr">
        <is>
          <t xml:space="preserve">  Sentry + CloudWatch</t>
        </is>
      </c>
      <c r="B28" s="6" t="n">
        <v>312</v>
      </c>
      <c r="C28" s="6" t="n">
        <v>2000</v>
      </c>
      <c r="D28" s="6" t="n">
        <v>8000</v>
      </c>
      <c r="E28" s="6" t="n">
        <v>25000</v>
      </c>
      <c r="F28" s="6" t="n">
        <v>60000</v>
      </c>
    </row>
    <row r="29">
      <c r="A29" s="12" t="inlineStr">
        <is>
          <t xml:space="preserve">  Bitsol partnership</t>
        </is>
      </c>
      <c r="B29" s="6" t="n">
        <v>115000</v>
      </c>
      <c r="C29" s="6" t="n">
        <v>100000</v>
      </c>
      <c r="D29" s="6" t="n">
        <v>60000</v>
      </c>
      <c r="E29" s="6" t="n">
        <v>0</v>
      </c>
      <c r="F29" s="6" t="n">
        <v>0</v>
      </c>
    </row>
    <row r="30">
      <c r="A30" s="12" t="inlineStr">
        <is>
          <t xml:space="preserve">  Stripe + misc</t>
        </is>
      </c>
      <c r="B30" s="6" t="n">
        <v>1000</v>
      </c>
      <c r="C30" s="6" t="n">
        <v>5000</v>
      </c>
      <c r="D30" s="6" t="n">
        <v>20000</v>
      </c>
      <c r="E30" s="6" t="n">
        <v>60000</v>
      </c>
      <c r="F30" s="6" t="n">
        <v>150000</v>
      </c>
    </row>
    <row r="31">
      <c r="A31" s="12" t="inlineStr">
        <is>
          <t xml:space="preserve">  HubSpot Starter (CRM)</t>
        </is>
      </c>
      <c r="B31" s="6" t="n">
        <v>540</v>
      </c>
      <c r="C31" s="6" t="n">
        <v>1500</v>
      </c>
      <c r="D31" s="6" t="n">
        <v>3000</v>
      </c>
      <c r="E31" s="6" t="n">
        <v>6000</v>
      </c>
      <c r="F31" s="6" t="n">
        <v>12000</v>
      </c>
    </row>
    <row r="32">
      <c r="A32" s="12" t="inlineStr">
        <is>
          <t xml:space="preserve">  Apollo (sales intel)</t>
        </is>
      </c>
      <c r="B32" s="6" t="n">
        <v>1200</v>
      </c>
      <c r="C32" s="6" t="n">
        <v>2500</v>
      </c>
      <c r="D32" s="6" t="n">
        <v>5000</v>
      </c>
      <c r="E32" s="6" t="n">
        <v>10000</v>
      </c>
      <c r="F32" s="6" t="n">
        <v>18000</v>
      </c>
    </row>
    <row r="33">
      <c r="A33" s="12" t="inlineStr">
        <is>
          <t xml:space="preserve">  NAMSS conference (booth + travel, aggressive Y1)</t>
        </is>
      </c>
      <c r="B33" s="6" t="n">
        <v>12000</v>
      </c>
      <c r="C33" s="6" t="n">
        <v>14000</v>
      </c>
      <c r="D33" s="6" t="n">
        <v>18000</v>
      </c>
      <c r="E33" s="6" t="n">
        <v>22000</v>
      </c>
      <c r="F33" s="6" t="n">
        <v>25000</v>
      </c>
    </row>
    <row r="34">
      <c r="A34" s="12" t="inlineStr">
        <is>
          <t xml:space="preserve">  Marketing services (Months 9-14 / Y2+ retainer)</t>
        </is>
      </c>
      <c r="B34" s="6" t="n">
        <v>24000</v>
      </c>
      <c r="C34" s="6" t="n">
        <v>48000</v>
      </c>
      <c r="D34" s="6" t="n">
        <v>72000</v>
      </c>
      <c r="E34" s="6" t="n">
        <v>96000</v>
      </c>
      <c r="F34" s="6" t="n">
        <v>120000</v>
      </c>
    </row>
    <row r="35">
      <c r="A35" s="12" t="inlineStr">
        <is>
          <t xml:space="preserve">  E&amp;O insurance ($2-3M policy, required pre-BAA)</t>
        </is>
      </c>
      <c r="B35" s="6" t="n">
        <v>9000</v>
      </c>
      <c r="C35" s="6" t="n">
        <v>11000</v>
      </c>
      <c r="D35" s="6" t="n">
        <v>14000</v>
      </c>
      <c r="E35" s="6" t="n">
        <v>18000</v>
      </c>
      <c r="F35" s="6" t="n">
        <v>24000</v>
      </c>
    </row>
    <row r="36">
      <c r="A36" s="12" t="inlineStr">
        <is>
          <t xml:space="preserve">  Cyber/PHI breach insurance ($1M policy)</t>
        </is>
      </c>
      <c r="B36" s="6" t="n">
        <v>6000</v>
      </c>
      <c r="C36" s="6" t="n">
        <v>8000</v>
      </c>
      <c r="D36" s="6" t="n">
        <v>11000</v>
      </c>
      <c r="E36" s="6" t="n">
        <v>15000</v>
      </c>
      <c r="F36" s="6" t="n">
        <v>20000</v>
      </c>
    </row>
    <row r="37">
      <c r="A37" s="12" t="inlineStr">
        <is>
          <t xml:space="preserve">  Outside counsel (conversion + retainer)</t>
        </is>
      </c>
      <c r="B37" s="6" t="n">
        <v>70000</v>
      </c>
      <c r="C37" s="6" t="n">
        <v>60000</v>
      </c>
      <c r="D37" s="6" t="n">
        <v>72000</v>
      </c>
      <c r="E37" s="6" t="n">
        <v>90000</v>
      </c>
      <c r="F37" s="6" t="n">
        <v>110000</v>
      </c>
    </row>
    <row r="38">
      <c r="A38" s="12" t="inlineStr">
        <is>
          <t xml:space="preserve">  Bookkeeper (fractional CPA)</t>
        </is>
      </c>
      <c r="B38" s="6" t="n">
        <v>27000</v>
      </c>
      <c r="C38" s="6" t="n">
        <v>30000</v>
      </c>
      <c r="D38" s="6" t="n">
        <v>36000</v>
      </c>
      <c r="E38" s="6" t="n">
        <v>48000</v>
      </c>
      <c r="F38" s="6" t="n">
        <v>60000</v>
      </c>
    </row>
    <row r="39">
      <c r="A39" s="12" t="inlineStr">
        <is>
          <t xml:space="preserve">  Per-facility legal package (BAA+MSA+Pilot x5-7)</t>
        </is>
      </c>
      <c r="B39" s="6" t="n">
        <v>15000</v>
      </c>
      <c r="C39" s="6" t="n">
        <v>0</v>
      </c>
      <c r="D39" s="6" t="n">
        <v>0</v>
      </c>
      <c r="E39" s="6" t="n">
        <v>0</v>
      </c>
      <c r="F39" s="6" t="n">
        <v>0</v>
      </c>
    </row>
    <row r="40">
      <c r="A40" s="19" t="inlineStr">
        <is>
          <t xml:space="preserve">  Vendor total</t>
        </is>
      </c>
      <c r="B40" s="17">
        <f>SUM(B20:B39)</f>
        <v/>
      </c>
      <c r="C40" s="17">
        <f>SUM(C20:C39)</f>
        <v/>
      </c>
      <c r="D40" s="17">
        <f>SUM(D20:D39)</f>
        <v/>
      </c>
      <c r="E40" s="17">
        <f>SUM(E20:E39)</f>
        <v/>
      </c>
      <c r="F40" s="17">
        <f>SUM(F20:F39)</f>
        <v/>
      </c>
    </row>
    <row r="42">
      <c r="A42" s="4" t="inlineStr">
        <is>
          <t>SALES &amp; MARKETING</t>
        </is>
      </c>
    </row>
    <row r="43">
      <c r="A43" t="inlineStr">
        <is>
          <t xml:space="preserve">  S&amp;M spend</t>
        </is>
      </c>
      <c r="B43" s="6" t="n">
        <v>120000</v>
      </c>
      <c r="C43" s="6" t="n">
        <v>600000</v>
      </c>
      <c r="D43" s="6" t="n">
        <v>2400000</v>
      </c>
      <c r="E43" s="6" t="n">
        <v>6000000</v>
      </c>
      <c r="F43" s="6" t="n">
        <v>12000000</v>
      </c>
    </row>
    <row r="45">
      <c r="A45" s="4" t="inlineStr">
        <is>
          <t>GENERAL &amp; ADMIN</t>
        </is>
      </c>
    </row>
    <row r="46">
      <c r="A46" t="inlineStr">
        <is>
          <t xml:space="preserve">  G&amp;A (legal, accounting, ins)</t>
        </is>
      </c>
      <c r="B46" s="6" t="n">
        <v>60000</v>
      </c>
      <c r="C46" s="6" t="n">
        <v>150000</v>
      </c>
      <c r="D46" s="6" t="n">
        <v>400000</v>
      </c>
      <c r="E46" s="6" t="n">
        <v>900000</v>
      </c>
      <c r="F46" s="6" t="n">
        <v>1800000</v>
      </c>
    </row>
    <row r="48">
      <c r="A48" s="20" t="inlineStr">
        <is>
          <t>TOTAL OPEX</t>
        </is>
      </c>
      <c r="B48" s="21">
        <f>B10+B17+B18+B40+B43+B46</f>
        <v/>
      </c>
      <c r="C48" s="21">
        <f>C10+C17+C18+C40+C43+C46</f>
        <v/>
      </c>
      <c r="D48" s="21">
        <f>D10+D17+D18+D40+D43+D46</f>
        <v/>
      </c>
      <c r="E48" s="21">
        <f>E10+E17+E18+E40+E43+E46</f>
        <v/>
      </c>
      <c r="F48" s="21">
        <f>F10+F17+F18+F40+F43+F46</f>
        <v/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23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  <col width="16" customWidth="1" min="7" max="7"/>
  </cols>
  <sheetData>
    <row r="1">
      <c r="A1" s="1" t="inlineStr">
        <is>
          <t>Income Statement — Base Case</t>
        </is>
      </c>
    </row>
    <row r="2">
      <c r="A2" s="2" t="inlineStr">
        <is>
          <t>Driven from REVENUE_BUILD (Base) and COSTS. Margin %s in conditional-format band.</t>
        </is>
      </c>
    </row>
    <row r="4">
      <c r="A4" s="3" t="inlineStr">
        <is>
          <t>Line item</t>
        </is>
      </c>
      <c r="B4" s="3" t="inlineStr">
        <is>
          <t>Y1 (2026)</t>
        </is>
      </c>
      <c r="C4" s="3" t="inlineStr">
        <is>
          <t>Y2 (2027)</t>
        </is>
      </c>
      <c r="D4" s="3" t="inlineStr">
        <is>
          <t>Y3 (2028)</t>
        </is>
      </c>
      <c r="E4" s="3" t="inlineStr">
        <is>
          <t>Y4 (2029)</t>
        </is>
      </c>
      <c r="F4" s="3" t="inlineStr">
        <is>
          <t>Y5 (2030)</t>
        </is>
      </c>
    </row>
    <row r="6">
      <c r="A6" t="inlineStr">
        <is>
          <t>Connect ARR</t>
        </is>
      </c>
      <c r="B6" s="11">
        <f>REVENUE_BUILD!B18</f>
        <v/>
      </c>
      <c r="C6" s="11">
        <f>REVENUE_BUILD!C18</f>
        <v/>
      </c>
      <c r="D6" s="11">
        <f>REVENUE_BUILD!D18</f>
        <v/>
      </c>
      <c r="E6" s="11">
        <f>REVENUE_BUILD!E18</f>
        <v/>
      </c>
      <c r="F6" s="11">
        <f>REVENUE_BUILD!F18</f>
        <v/>
      </c>
    </row>
    <row r="7">
      <c r="A7" t="inlineStr">
        <is>
          <t>Verified API ARR</t>
        </is>
      </c>
      <c r="B7" s="11">
        <f>REVENUE_BUILD!B22</f>
        <v/>
      </c>
      <c r="C7" s="11">
        <f>REVENUE_BUILD!C22</f>
        <v/>
      </c>
      <c r="D7" s="11">
        <f>REVENUE_BUILD!D22</f>
        <v/>
      </c>
      <c r="E7" s="11">
        <f>REVENUE_BUILD!E22</f>
        <v/>
      </c>
      <c r="F7" s="11">
        <f>REVENUE_BUILD!F22</f>
        <v/>
      </c>
    </row>
    <row r="8">
      <c r="A8" t="inlineStr">
        <is>
          <t>Platform contracts</t>
        </is>
      </c>
      <c r="B8" s="11">
        <f>REVENUE_BUILD!B23</f>
        <v/>
      </c>
      <c r="C8" s="11">
        <f>REVENUE_BUILD!C23</f>
        <v/>
      </c>
      <c r="D8" s="11">
        <f>REVENUE_BUILD!D23</f>
        <v/>
      </c>
      <c r="E8" s="11">
        <f>REVENUE_BUILD!E23</f>
        <v/>
      </c>
      <c r="F8" s="11">
        <f>REVENUE_BUILD!F23</f>
        <v/>
      </c>
    </row>
    <row r="9">
      <c r="A9" t="inlineStr">
        <is>
          <t>TOTAL REVENUE</t>
        </is>
      </c>
      <c r="B9" s="22">
        <f>SUM(B6:B8)</f>
        <v/>
      </c>
      <c r="C9" s="22">
        <f>SUM(C6:C8)</f>
        <v/>
      </c>
      <c r="D9" s="22">
        <f>SUM(D6:D8)</f>
        <v/>
      </c>
      <c r="E9" s="22">
        <f>SUM(E6:E8)</f>
        <v/>
      </c>
      <c r="F9" s="22">
        <f>SUM(F6:F8)</f>
        <v/>
      </c>
    </row>
    <row r="11">
      <c r="A11" t="inlineStr">
        <is>
          <t>COGS</t>
        </is>
      </c>
      <c r="B11" s="11">
        <f>B9*(1-0.55)</f>
        <v/>
      </c>
      <c r="C11" s="11">
        <f>C9*(1-0.65)</f>
        <v/>
      </c>
      <c r="D11" s="11">
        <f>D9*(1-0.72)</f>
        <v/>
      </c>
      <c r="E11" s="11">
        <f>E9*(1-0.78)</f>
        <v/>
      </c>
      <c r="F11" s="11">
        <f>F9*(1-0.82)</f>
        <v/>
      </c>
    </row>
    <row r="12">
      <c r="A12" t="inlineStr">
        <is>
          <t>GROSS PROFIT</t>
        </is>
      </c>
      <c r="B12" s="17">
        <f>B9-B11</f>
        <v/>
      </c>
      <c r="C12" s="17">
        <f>C9-C11</f>
        <v/>
      </c>
      <c r="D12" s="17">
        <f>D9-D11</f>
        <v/>
      </c>
      <c r="E12" s="17">
        <f>E9-E11</f>
        <v/>
      </c>
      <c r="F12" s="17">
        <f>F9-F11</f>
        <v/>
      </c>
    </row>
    <row r="13">
      <c r="A13" t="inlineStr">
        <is>
          <t>Gross margin %</t>
        </is>
      </c>
      <c r="B13" s="10">
        <f>IFERROR(B12/B9,0)</f>
        <v/>
      </c>
      <c r="C13" s="10">
        <f>IFERROR(C12/C9,0)</f>
        <v/>
      </c>
      <c r="D13" s="10">
        <f>IFERROR(D12/D9,0)</f>
        <v/>
      </c>
      <c r="E13" s="10">
        <f>IFERROR(E12/E9,0)</f>
        <v/>
      </c>
      <c r="F13" s="10">
        <f>IFERROR(F12/F9,0)</f>
        <v/>
      </c>
    </row>
    <row r="15">
      <c r="A15" t="inlineStr">
        <is>
          <t>Founder salaries</t>
        </is>
      </c>
      <c r="B15" s="11">
        <f>COSTS!B10</f>
        <v/>
      </c>
      <c r="C15" s="11">
        <f>COSTS!C10</f>
        <v/>
      </c>
      <c r="D15" s="11">
        <f>COSTS!D10</f>
        <v/>
      </c>
      <c r="E15" s="11">
        <f>COSTS!E10</f>
        <v/>
      </c>
      <c r="F15" s="11">
        <f>COSTS!F10</f>
        <v/>
      </c>
    </row>
    <row r="16">
      <c r="A16" t="inlineStr">
        <is>
          <t>Additional headcount + NAMSS coordinator</t>
        </is>
      </c>
      <c r="B16" s="11">
        <f>COSTS!B17+COSTS!B18</f>
        <v/>
      </c>
      <c r="C16" s="11">
        <f>COSTS!C17+COSTS!C18</f>
        <v/>
      </c>
      <c r="D16" s="11">
        <f>COSTS!D17+COSTS!D18</f>
        <v/>
      </c>
      <c r="E16" s="11">
        <f>COSTS!E17+COSTS!E18</f>
        <v/>
      </c>
      <c r="F16" s="11">
        <f>COSTS!F17+COSTS!F18</f>
        <v/>
      </c>
    </row>
    <row r="17">
      <c r="A17" t="inlineStr">
        <is>
          <t>Vendor stack (full)</t>
        </is>
      </c>
      <c r="B17" s="11">
        <f>COSTS!B40</f>
        <v/>
      </c>
      <c r="C17" s="11">
        <f>COSTS!C40</f>
        <v/>
      </c>
      <c r="D17" s="11">
        <f>COSTS!D40</f>
        <v/>
      </c>
      <c r="E17" s="11">
        <f>COSTS!E40</f>
        <v/>
      </c>
      <c r="F17" s="11">
        <f>COSTS!F40</f>
        <v/>
      </c>
    </row>
    <row r="18">
      <c r="A18" t="inlineStr">
        <is>
          <t>S&amp;M</t>
        </is>
      </c>
      <c r="B18" s="11">
        <f>COSTS!B43</f>
        <v/>
      </c>
      <c r="C18" s="11">
        <f>COSTS!C43</f>
        <v/>
      </c>
      <c r="D18" s="11">
        <f>COSTS!D43</f>
        <v/>
      </c>
      <c r="E18" s="11">
        <f>COSTS!E43</f>
        <v/>
      </c>
      <c r="F18" s="11">
        <f>COSTS!F43</f>
        <v/>
      </c>
    </row>
    <row r="19">
      <c r="A19" t="inlineStr">
        <is>
          <t>G&amp;A</t>
        </is>
      </c>
      <c r="B19" s="11">
        <f>COSTS!B46</f>
        <v/>
      </c>
      <c r="C19" s="11">
        <f>COSTS!C46</f>
        <v/>
      </c>
      <c r="D19" s="11">
        <f>COSTS!D46</f>
        <v/>
      </c>
      <c r="E19" s="11">
        <f>COSTS!E46</f>
        <v/>
      </c>
      <c r="F19" s="11">
        <f>COSTS!F46</f>
        <v/>
      </c>
    </row>
    <row r="20">
      <c r="A20" t="inlineStr">
        <is>
          <t>TOTAL OPEX</t>
        </is>
      </c>
      <c r="B20" s="22">
        <f>SUM(B15:B19)</f>
        <v/>
      </c>
      <c r="C20" s="22">
        <f>SUM(C15:C19)</f>
        <v/>
      </c>
      <c r="D20" s="22">
        <f>SUM(D15:D19)</f>
        <v/>
      </c>
      <c r="E20" s="22">
        <f>SUM(E15:E19)</f>
        <v/>
      </c>
      <c r="F20" s="22">
        <f>SUM(F15:F19)</f>
        <v/>
      </c>
    </row>
    <row r="22">
      <c r="A22" t="inlineStr">
        <is>
          <t>EBITDA</t>
        </is>
      </c>
      <c r="B22" s="23">
        <f>B12-B20</f>
        <v/>
      </c>
      <c r="C22" s="23">
        <f>C12-C20</f>
        <v/>
      </c>
      <c r="D22" s="23">
        <f>D12-D20</f>
        <v/>
      </c>
      <c r="E22" s="23">
        <f>E12-E20</f>
        <v/>
      </c>
      <c r="F22" s="23">
        <f>F12-F20</f>
        <v/>
      </c>
    </row>
    <row r="23">
      <c r="A23" t="inlineStr">
        <is>
          <t>EBITDA margin %</t>
        </is>
      </c>
      <c r="B23" s="10">
        <f>IFERROR(B22/B9,0)</f>
        <v/>
      </c>
      <c r="C23" s="10">
        <f>IFERROR(C22/C9,0)</f>
        <v/>
      </c>
      <c r="D23" s="10">
        <f>IFERROR(D22/D9,0)</f>
        <v/>
      </c>
      <c r="E23" s="10">
        <f>IFERROR(E22/E9,0)</f>
        <v/>
      </c>
      <c r="F23" s="10">
        <f>IFERROR(F22/F9,0)</f>
        <v/>
      </c>
    </row>
  </sheetData>
  <conditionalFormatting sqref="B23:F23">
    <cfRule type="cellIs" priority="1" operator="greaterThan" dxfId="0">
      <formula>0</formula>
    </cfRule>
    <cfRule type="cellIs" priority="2" operator="lessThan" dxfId="1">
      <formula>0</formula>
    </cfRule>
  </conditionalFormatting>
  <conditionalFormatting sqref="B13:F13">
    <cfRule type="cellIs" priority="3" operator="greaterThan" dxfId="0">
      <formula>0.7</formula>
    </cfRule>
  </conditionalFormatting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Y15"/>
  <sheetViews>
    <sheetView workbookViewId="0">
      <selection activeCell="A1" sqref="A1"/>
    </sheetView>
  </sheetViews>
  <sheetFormatPr baseColWidth="8" defaultRowHeight="15"/>
  <cols>
    <col width="30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11" customWidth="1" min="7" max="7"/>
    <col width="11" customWidth="1" min="8" max="8"/>
    <col width="11" customWidth="1" min="9" max="9"/>
    <col width="11" customWidth="1" min="10" max="10"/>
    <col width="11" customWidth="1" min="11" max="11"/>
    <col width="11" customWidth="1" min="12" max="12"/>
    <col width="11" customWidth="1" min="13" max="13"/>
    <col width="11" customWidth="1" min="14" max="14"/>
    <col width="11" customWidth="1" min="15" max="15"/>
    <col width="11" customWidth="1" min="16" max="16"/>
    <col width="11" customWidth="1" min="17" max="17"/>
    <col width="11" customWidth="1" min="18" max="18"/>
    <col width="11" customWidth="1" min="19" max="19"/>
    <col width="11" customWidth="1" min="20" max="20"/>
    <col width="11" customWidth="1" min="21" max="21"/>
    <col width="11" customWidth="1" min="22" max="22"/>
    <col width="11" customWidth="1" min="23" max="23"/>
    <col width="11" customWidth="1" min="24" max="24"/>
    <col width="11" customWidth="1" min="25" max="25"/>
  </cols>
  <sheetData>
    <row r="1">
      <c r="A1" s="1" t="inlineStr">
        <is>
          <t>Cash Flow &amp; Runway — Monthly Y1+Y2</t>
        </is>
      </c>
    </row>
    <row r="2">
      <c r="A2" s="2" t="inlineStr">
        <is>
          <t>Starting cash = $2.25M target raise. Monthly burn derived from Y1 P&amp;L / 12.</t>
        </is>
      </c>
    </row>
    <row r="4">
      <c r="A4" s="3" t="inlineStr">
        <is>
          <t>Month</t>
        </is>
      </c>
      <c r="B4" s="3" t="inlineStr">
        <is>
          <t>M1</t>
        </is>
      </c>
      <c r="C4" s="3" t="inlineStr">
        <is>
          <t>M2</t>
        </is>
      </c>
      <c r="D4" s="3" t="inlineStr">
        <is>
          <t>M3</t>
        </is>
      </c>
      <c r="E4" s="3" t="inlineStr">
        <is>
          <t>M4</t>
        </is>
      </c>
      <c r="F4" s="3" t="inlineStr">
        <is>
          <t>M5</t>
        </is>
      </c>
      <c r="G4" s="3" t="inlineStr">
        <is>
          <t>M6</t>
        </is>
      </c>
      <c r="H4" s="3" t="inlineStr">
        <is>
          <t>M7</t>
        </is>
      </c>
      <c r="I4" s="3" t="inlineStr">
        <is>
          <t>M8</t>
        </is>
      </c>
      <c r="J4" s="3" t="inlineStr">
        <is>
          <t>M9</t>
        </is>
      </c>
      <c r="K4" s="3" t="inlineStr">
        <is>
          <t>M10</t>
        </is>
      </c>
      <c r="L4" s="3" t="inlineStr">
        <is>
          <t>M11</t>
        </is>
      </c>
      <c r="M4" s="3" t="inlineStr">
        <is>
          <t>M12</t>
        </is>
      </c>
      <c r="N4" s="3" t="inlineStr">
        <is>
          <t>M13</t>
        </is>
      </c>
      <c r="O4" s="3" t="inlineStr">
        <is>
          <t>M14</t>
        </is>
      </c>
      <c r="P4" s="3" t="inlineStr">
        <is>
          <t>M15</t>
        </is>
      </c>
      <c r="Q4" s="3" t="inlineStr">
        <is>
          <t>M16</t>
        </is>
      </c>
      <c r="R4" s="3" t="inlineStr">
        <is>
          <t>M17</t>
        </is>
      </c>
      <c r="S4" s="3" t="inlineStr">
        <is>
          <t>M18</t>
        </is>
      </c>
      <c r="T4" s="3" t="inlineStr">
        <is>
          <t>M19</t>
        </is>
      </c>
      <c r="U4" s="3" t="inlineStr">
        <is>
          <t>M20</t>
        </is>
      </c>
      <c r="V4" s="3" t="inlineStr">
        <is>
          <t>M21</t>
        </is>
      </c>
      <c r="W4" s="3" t="inlineStr">
        <is>
          <t>M22</t>
        </is>
      </c>
      <c r="X4" s="3" t="inlineStr">
        <is>
          <t>M23</t>
        </is>
      </c>
      <c r="Y4" s="3" t="inlineStr">
        <is>
          <t>M24</t>
        </is>
      </c>
    </row>
    <row r="6">
      <c r="A6" t="inlineStr">
        <is>
          <t>Starting cash (target $2.25M; hard cap $2.75M)</t>
        </is>
      </c>
      <c r="B6" s="11">
        <f>ASSUMPTIONS!B54</f>
        <v/>
      </c>
    </row>
    <row r="7">
      <c r="A7" t="inlineStr">
        <is>
          <t>Monthly revenue</t>
        </is>
      </c>
      <c r="B7" s="11">
        <f>(P&amp;L!B9/12)*((1)/12)</f>
        <v/>
      </c>
      <c r="C7" s="11">
        <f>(P&amp;L!B9/12)*((2)/12)</f>
        <v/>
      </c>
      <c r="D7" s="11">
        <f>(P&amp;L!B9/12)*((3)/12)</f>
        <v/>
      </c>
      <c r="E7" s="11">
        <f>(P&amp;L!B9/12)*((4)/12)</f>
        <v/>
      </c>
      <c r="F7" s="11">
        <f>(P&amp;L!B9/12)*((5)/12)</f>
        <v/>
      </c>
      <c r="G7" s="11">
        <f>(P&amp;L!B9/12)*((6)/12)</f>
        <v/>
      </c>
      <c r="H7" s="11">
        <f>(P&amp;L!B9/12)*((7)/12)</f>
        <v/>
      </c>
      <c r="I7" s="11">
        <f>(P&amp;L!B9/12)*((8)/12)</f>
        <v/>
      </c>
      <c r="J7" s="11">
        <f>(P&amp;L!B9/12)*((9)/12)</f>
        <v/>
      </c>
      <c r="K7" s="11">
        <f>(P&amp;L!B9/12)*((10)/12)</f>
        <v/>
      </c>
      <c r="L7" s="11">
        <f>(P&amp;L!B9/12)*((11)/12)</f>
        <v/>
      </c>
      <c r="M7" s="11">
        <f>(P&amp;L!B9/12)*((12)/12)</f>
        <v/>
      </c>
      <c r="N7" s="11">
        <f>(P&amp;L!B9/12)+((P&amp;L!C9/12)-(P&amp;L!B9/12))*(1/12)</f>
        <v/>
      </c>
      <c r="O7" s="11">
        <f>(P&amp;L!B9/12)+((P&amp;L!C9/12)-(P&amp;L!B9/12))*(2/12)</f>
        <v/>
      </c>
      <c r="P7" s="11">
        <f>(P&amp;L!B9/12)+((P&amp;L!C9/12)-(P&amp;L!B9/12))*(3/12)</f>
        <v/>
      </c>
      <c r="Q7" s="11">
        <f>(P&amp;L!B9/12)+((P&amp;L!C9/12)-(P&amp;L!B9/12))*(4/12)</f>
        <v/>
      </c>
      <c r="R7" s="11">
        <f>(P&amp;L!B9/12)+((P&amp;L!C9/12)-(P&amp;L!B9/12))*(5/12)</f>
        <v/>
      </c>
      <c r="S7" s="11">
        <f>(P&amp;L!B9/12)+((P&amp;L!C9/12)-(P&amp;L!B9/12))*(6/12)</f>
        <v/>
      </c>
      <c r="T7" s="11">
        <f>(P&amp;L!B9/12)+((P&amp;L!C9/12)-(P&amp;L!B9/12))*(7/12)</f>
        <v/>
      </c>
      <c r="U7" s="11">
        <f>(P&amp;L!B9/12)+((P&amp;L!C9/12)-(P&amp;L!B9/12))*(8/12)</f>
        <v/>
      </c>
      <c r="V7" s="11">
        <f>(P&amp;L!B9/12)+((P&amp;L!C9/12)-(P&amp;L!B9/12))*(9/12)</f>
        <v/>
      </c>
      <c r="W7" s="11">
        <f>(P&amp;L!B9/12)+((P&amp;L!C9/12)-(P&amp;L!B9/12))*(10/12)</f>
        <v/>
      </c>
      <c r="X7" s="11">
        <f>(P&amp;L!B9/12)+((P&amp;L!C9/12)-(P&amp;L!B9/12))*(11/12)</f>
        <v/>
      </c>
      <c r="Y7" s="11">
        <f>(P&amp;L!B9/12)+((P&amp;L!C9/12)-(P&amp;L!B9/12))*(12/12)</f>
        <v/>
      </c>
    </row>
    <row r="8">
      <c r="A8" t="inlineStr">
        <is>
          <t>Monthly opex</t>
        </is>
      </c>
      <c r="B8" s="11">
        <f>P&amp;L!B20/12</f>
        <v/>
      </c>
      <c r="C8" s="11">
        <f>P&amp;L!B20/12</f>
        <v/>
      </c>
      <c r="D8" s="11">
        <f>P&amp;L!B20/12</f>
        <v/>
      </c>
      <c r="E8" s="11">
        <f>P&amp;L!B20/12</f>
        <v/>
      </c>
      <c r="F8" s="11">
        <f>P&amp;L!B20/12</f>
        <v/>
      </c>
      <c r="G8" s="11">
        <f>P&amp;L!B20/12</f>
        <v/>
      </c>
      <c r="H8" s="11">
        <f>P&amp;L!B20/12</f>
        <v/>
      </c>
      <c r="I8" s="11">
        <f>P&amp;L!B20/12</f>
        <v/>
      </c>
      <c r="J8" s="11">
        <f>P&amp;L!B20/12</f>
        <v/>
      </c>
      <c r="K8" s="11">
        <f>P&amp;L!B20/12</f>
        <v/>
      </c>
      <c r="L8" s="11">
        <f>P&amp;L!B20/12</f>
        <v/>
      </c>
      <c r="M8" s="11">
        <f>P&amp;L!B20/12</f>
        <v/>
      </c>
      <c r="N8" s="11">
        <f>P&amp;L!C20/12</f>
        <v/>
      </c>
      <c r="O8" s="11">
        <f>P&amp;L!C20/12</f>
        <v/>
      </c>
      <c r="P8" s="11">
        <f>P&amp;L!C20/12</f>
        <v/>
      </c>
      <c r="Q8" s="11">
        <f>P&amp;L!C20/12</f>
        <v/>
      </c>
      <c r="R8" s="11">
        <f>P&amp;L!C20/12</f>
        <v/>
      </c>
      <c r="S8" s="11">
        <f>P&amp;L!C20/12</f>
        <v/>
      </c>
      <c r="T8" s="11">
        <f>P&amp;L!C20/12</f>
        <v/>
      </c>
      <c r="U8" s="11">
        <f>P&amp;L!C20/12</f>
        <v/>
      </c>
      <c r="V8" s="11">
        <f>P&amp;L!C20/12</f>
        <v/>
      </c>
      <c r="W8" s="11">
        <f>P&amp;L!C20/12</f>
        <v/>
      </c>
      <c r="X8" s="11">
        <f>P&amp;L!C20/12</f>
        <v/>
      </c>
      <c r="Y8" s="11">
        <f>P&amp;L!C20/12</f>
        <v/>
      </c>
    </row>
    <row r="9">
      <c r="A9" t="inlineStr">
        <is>
          <t>Net burn</t>
        </is>
      </c>
      <c r="B9" s="11">
        <f>B7-B8</f>
        <v/>
      </c>
      <c r="C9" s="11">
        <f>C7-C8</f>
        <v/>
      </c>
      <c r="D9" s="11">
        <f>D7-D8</f>
        <v/>
      </c>
      <c r="E9" s="11">
        <f>E7-E8</f>
        <v/>
      </c>
      <c r="F9" s="11">
        <f>F7-F8</f>
        <v/>
      </c>
      <c r="G9" s="11">
        <f>G7-G8</f>
        <v/>
      </c>
      <c r="H9" s="11">
        <f>H7-H8</f>
        <v/>
      </c>
      <c r="I9" s="11">
        <f>I7-I8</f>
        <v/>
      </c>
      <c r="J9" s="11">
        <f>J7-J8</f>
        <v/>
      </c>
      <c r="K9" s="11">
        <f>K7-K8</f>
        <v/>
      </c>
      <c r="L9" s="11">
        <f>L7-L8</f>
        <v/>
      </c>
      <c r="M9" s="11">
        <f>M7-M8</f>
        <v/>
      </c>
      <c r="N9" s="11">
        <f>N7-N8</f>
        <v/>
      </c>
      <c r="O9" s="11">
        <f>O7-O8</f>
        <v/>
      </c>
      <c r="P9" s="11">
        <f>P7-P8</f>
        <v/>
      </c>
      <c r="Q9" s="11">
        <f>Q7-Q8</f>
        <v/>
      </c>
      <c r="R9" s="11">
        <f>R7-R8</f>
        <v/>
      </c>
      <c r="S9" s="11">
        <f>S7-S8</f>
        <v/>
      </c>
      <c r="T9" s="11">
        <f>T7-T8</f>
        <v/>
      </c>
      <c r="U9" s="11">
        <f>U7-U8</f>
        <v/>
      </c>
      <c r="V9" s="11">
        <f>V7-V8</f>
        <v/>
      </c>
      <c r="W9" s="11">
        <f>W7-W8</f>
        <v/>
      </c>
      <c r="X9" s="11">
        <f>X7-X8</f>
        <v/>
      </c>
      <c r="Y9" s="11">
        <f>Y7-Y8</f>
        <v/>
      </c>
    </row>
    <row r="10">
      <c r="A10" t="inlineStr">
        <is>
          <t>Ending cash</t>
        </is>
      </c>
      <c r="B10" s="24">
        <f>B6+B9</f>
        <v/>
      </c>
      <c r="C10" s="24">
        <f>B10+C9</f>
        <v/>
      </c>
      <c r="D10" s="24">
        <f>C10+D9</f>
        <v/>
      </c>
      <c r="E10" s="24">
        <f>D10+E9</f>
        <v/>
      </c>
      <c r="F10" s="24">
        <f>E10+F9</f>
        <v/>
      </c>
      <c r="G10" s="24">
        <f>F10+G9</f>
        <v/>
      </c>
      <c r="H10" s="24">
        <f>G10+H9</f>
        <v/>
      </c>
      <c r="I10" s="24">
        <f>H10+I9</f>
        <v/>
      </c>
      <c r="J10" s="24">
        <f>I10+J9</f>
        <v/>
      </c>
      <c r="K10" s="24">
        <f>J10+K9</f>
        <v/>
      </c>
      <c r="L10" s="24">
        <f>K10+L9</f>
        <v/>
      </c>
      <c r="M10" s="24">
        <f>L10+M9</f>
        <v/>
      </c>
      <c r="N10" s="24">
        <f>M10+N9</f>
        <v/>
      </c>
      <c r="O10" s="24">
        <f>N10+O9</f>
        <v/>
      </c>
      <c r="P10" s="24">
        <f>O10+P9</f>
        <v/>
      </c>
      <c r="Q10" s="24">
        <f>P10+Q9</f>
        <v/>
      </c>
      <c r="R10" s="24">
        <f>Q10+R9</f>
        <v/>
      </c>
      <c r="S10" s="24">
        <f>R10+S9</f>
        <v/>
      </c>
      <c r="T10" s="24">
        <f>S10+T9</f>
        <v/>
      </c>
      <c r="U10" s="24">
        <f>T10+U9</f>
        <v/>
      </c>
      <c r="V10" s="24">
        <f>U10+V9</f>
        <v/>
      </c>
      <c r="W10" s="24">
        <f>V10+W9</f>
        <v/>
      </c>
      <c r="X10" s="24">
        <f>W10+X9</f>
        <v/>
      </c>
      <c r="Y10" s="24">
        <f>X10+Y9</f>
        <v/>
      </c>
    </row>
    <row r="12">
      <c r="A12" t="inlineStr">
        <is>
          <t>Runway (months at current burn)</t>
        </is>
      </c>
      <c r="B12" s="25">
        <f>IFERROR(B10/(-AVERAGE(B9:M9)),"N/A")</f>
        <v/>
      </c>
    </row>
    <row r="14">
      <c r="A14" s="26" t="inlineStr">
        <is>
          <t>INTERPRETATION</t>
        </is>
      </c>
    </row>
    <row r="15">
      <c r="A15" s="27" t="inlineStr">
        <is>
          <t>If runway &lt; 18 months at any point, founder must trigger bridge or accelerate Series A.</t>
        </is>
      </c>
    </row>
  </sheetData>
  <conditionalFormatting sqref="B10:Y10">
    <cfRule type="cellIs" priority="1" operator="lessThan" dxfId="1">
      <formula>0</formula>
    </cfRule>
    <cfRule type="cellIs" priority="2" operator="greaterThan" dxfId="0">
      <formula>500000</formula>
    </cfRule>
  </conditionalFormatting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9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  <col width="16" customWidth="1" min="7" max="7"/>
  </cols>
  <sheetData>
    <row r="1">
      <c r="A1" s="1" t="inlineStr">
        <is>
          <t>SaaS Metrics — Base Case</t>
        </is>
      </c>
    </row>
    <row r="4">
      <c r="A4" s="3" t="inlineStr">
        <is>
          <t>Metric</t>
        </is>
      </c>
      <c r="B4" s="3" t="inlineStr">
        <is>
          <t>Y1 (2026)</t>
        </is>
      </c>
      <c r="C4" s="3" t="inlineStr">
        <is>
          <t>Y2 (2027)</t>
        </is>
      </c>
      <c r="D4" s="3" t="inlineStr">
        <is>
          <t>Y3 (2028)</t>
        </is>
      </c>
      <c r="E4" s="3" t="inlineStr">
        <is>
          <t>Y4 (2029)</t>
        </is>
      </c>
      <c r="F4" s="3" t="inlineStr">
        <is>
          <t>Y5 (2030)</t>
        </is>
      </c>
    </row>
    <row r="6">
      <c r="A6" t="inlineStr">
        <is>
          <t>ARR (end of period)</t>
        </is>
      </c>
      <c r="B6" s="22">
        <f>P&amp;L!B9</f>
        <v/>
      </c>
      <c r="C6" s="22">
        <f>P&amp;L!C9</f>
        <v/>
      </c>
      <c r="D6" s="22">
        <f>P&amp;L!D9</f>
        <v/>
      </c>
      <c r="E6" s="22">
        <f>P&amp;L!E9</f>
        <v/>
      </c>
      <c r="F6" s="22">
        <f>P&amp;L!F9</f>
        <v/>
      </c>
    </row>
    <row r="7">
      <c r="A7" t="inlineStr">
        <is>
          <t>ARR growth %</t>
        </is>
      </c>
      <c r="B7" s="10" t="inlineStr">
        <is>
          <t>N/A</t>
        </is>
      </c>
      <c r="C7" s="10">
        <f>IFERROR((C6-B6)/B6,0)</f>
        <v/>
      </c>
      <c r="D7" s="10">
        <f>IFERROR((D6-C6)/C6,0)</f>
        <v/>
      </c>
      <c r="E7" s="10">
        <f>IFERROR((E6-D6)/D6,0)</f>
        <v/>
      </c>
      <c r="F7" s="10">
        <f>IFERROR((F6-E6)/E6,0)</f>
        <v/>
      </c>
    </row>
    <row r="9">
      <c r="A9" t="inlineStr">
        <is>
          <t>NRR (target)</t>
        </is>
      </c>
      <c r="B9" s="10">
        <f>ASSUMPTIONS!B47</f>
        <v/>
      </c>
      <c r="C9" s="10">
        <f>ASSUMPTIONS!B47</f>
        <v/>
      </c>
      <c r="D9" s="10">
        <f>ASSUMPTIONS!B47</f>
        <v/>
      </c>
      <c r="E9" s="10">
        <f>ASSUMPTIONS!B47</f>
        <v/>
      </c>
      <c r="F9" s="10">
        <f>ASSUMPTIONS!B47</f>
        <v/>
      </c>
    </row>
    <row r="10">
      <c r="A10" t="inlineStr">
        <is>
          <t>GRR (target)</t>
        </is>
      </c>
      <c r="B10" s="10">
        <f>ASSUMPTIONS!B48</f>
        <v/>
      </c>
      <c r="C10" s="10">
        <f>ASSUMPTIONS!B48</f>
        <v/>
      </c>
      <c r="D10" s="10">
        <f>ASSUMPTIONS!B48</f>
        <v/>
      </c>
      <c r="E10" s="10">
        <f>ASSUMPTIONS!B48</f>
        <v/>
      </c>
      <c r="F10" s="10">
        <f>ASSUMPTIONS!B48</f>
        <v/>
      </c>
    </row>
    <row r="12">
      <c r="A12" t="inlineStr">
        <is>
          <t>S&amp;M spend</t>
        </is>
      </c>
      <c r="B12" s="11">
        <f>P&amp;L!B18</f>
        <v/>
      </c>
      <c r="C12" s="11">
        <f>P&amp;L!C18</f>
        <v/>
      </c>
      <c r="D12" s="11">
        <f>P&amp;L!D18</f>
        <v/>
      </c>
      <c r="E12" s="11">
        <f>P&amp;L!E18</f>
        <v/>
      </c>
      <c r="F12" s="11">
        <f>P&amp;L!F18</f>
        <v/>
      </c>
    </row>
    <row r="13">
      <c r="A13" t="inlineStr">
        <is>
          <t>New ARR added</t>
        </is>
      </c>
      <c r="B13" s="11">
        <f>B6</f>
        <v/>
      </c>
      <c r="C13" s="11">
        <f>C6-B6</f>
        <v/>
      </c>
      <c r="D13" s="11">
        <f>D6-C6</f>
        <v/>
      </c>
      <c r="E13" s="11">
        <f>E6-D6</f>
        <v/>
      </c>
      <c r="F13" s="11">
        <f>F6-E6</f>
        <v/>
      </c>
    </row>
    <row r="14">
      <c r="A14" t="inlineStr">
        <is>
          <t>Magic Number (new ARR / S&amp;M)</t>
        </is>
      </c>
      <c r="B14" s="28">
        <f>IFERROR(B13/B12,0)</f>
        <v/>
      </c>
      <c r="C14" s="28">
        <f>IFERROR(C13/C12,0)</f>
        <v/>
      </c>
      <c r="D14" s="28">
        <f>IFERROR(D13/D12,0)</f>
        <v/>
      </c>
      <c r="E14" s="28">
        <f>IFERROR(E13/E12,0)</f>
        <v/>
      </c>
      <c r="F14" s="28">
        <f>IFERROR(F13/F12,0)</f>
        <v/>
      </c>
    </row>
    <row r="16">
      <c r="A16" t="inlineStr">
        <is>
          <t>CAC (S&amp;M / new logos est.)</t>
        </is>
      </c>
      <c r="B16" s="11">
        <f>IFERROR(B12/B17,0)</f>
        <v/>
      </c>
      <c r="C16" s="11">
        <f>IFERROR(C12/C17,0)</f>
        <v/>
      </c>
      <c r="D16" s="11">
        <f>IFERROR(D12/D17,0)</f>
        <v/>
      </c>
      <c r="E16" s="11">
        <f>IFERROR(E12/E17,0)</f>
        <v/>
      </c>
      <c r="F16" s="11">
        <f>IFERROR(F12/F17,0)</f>
        <v/>
      </c>
    </row>
    <row r="17">
      <c r="A17" t="inlineStr">
        <is>
          <t>Estimated new logos</t>
        </is>
      </c>
      <c r="B17" s="13">
        <f>REVENUE_BUILD!B17</f>
        <v/>
      </c>
      <c r="C17" s="13">
        <f>REVENUE_BUILD!C17-REVENUE_BUILD!B17</f>
        <v/>
      </c>
      <c r="D17" s="13">
        <f>REVENUE_BUILD!D17-REVENUE_BUILD!C17</f>
        <v/>
      </c>
      <c r="E17" s="13">
        <f>REVENUE_BUILD!E17-REVENUE_BUILD!D17</f>
        <v/>
      </c>
      <c r="F17" s="13">
        <f>REVENUE_BUILD!F17-REVENUE_BUILD!E17</f>
        <v/>
      </c>
    </row>
    <row r="19">
      <c r="A19" t="inlineStr">
        <is>
          <t>Avg ACV</t>
        </is>
      </c>
      <c r="B19" s="11">
        <f>ASSUMPTIONS!B13</f>
        <v/>
      </c>
      <c r="C19" s="11">
        <f>ASSUMPTIONS!C13</f>
        <v/>
      </c>
      <c r="D19" s="11">
        <f>ASSUMPTIONS!D13</f>
        <v/>
      </c>
      <c r="E19" s="11">
        <f>ASSUMPTIONS!E13</f>
        <v/>
      </c>
      <c r="F19" s="11">
        <f>ASSUMPTIONS!F13</f>
        <v/>
      </c>
    </row>
    <row r="20">
      <c r="A20" t="inlineStr">
        <is>
          <t>Tenure (yrs, assumed)</t>
        </is>
      </c>
      <c r="B20" s="9" t="n">
        <v>4</v>
      </c>
      <c r="C20" s="9" t="n">
        <v>4</v>
      </c>
      <c r="D20" s="9" t="n">
        <v>4</v>
      </c>
      <c r="E20" s="9" t="n">
        <v>4</v>
      </c>
      <c r="F20" s="9" t="n">
        <v>4</v>
      </c>
    </row>
    <row r="21">
      <c r="A21" t="inlineStr">
        <is>
          <t>LTV (ACV * tenure * GM)</t>
        </is>
      </c>
      <c r="B21" s="11">
        <f>B19*B20*ASSUMPTIONS!$B$44</f>
        <v/>
      </c>
      <c r="C21" s="11">
        <f>C19*C20*ASSUMPTIONS!$B$44</f>
        <v/>
      </c>
      <c r="D21" s="11">
        <f>D19*D20*ASSUMPTIONS!$B$44</f>
        <v/>
      </c>
      <c r="E21" s="11">
        <f>E19*E20*ASSUMPTIONS!$B$44</f>
        <v/>
      </c>
      <c r="F21" s="11">
        <f>F19*F20*ASSUMPTIONS!$B$44</f>
        <v/>
      </c>
    </row>
    <row r="22">
      <c r="A22" t="inlineStr">
        <is>
          <t>LTV / CAC ratio</t>
        </is>
      </c>
      <c r="B22" s="29">
        <f>IFERROR(B21/B16,0)</f>
        <v/>
      </c>
      <c r="C22" s="29">
        <f>IFERROR(C21/C16,0)</f>
        <v/>
      </c>
      <c r="D22" s="29">
        <f>IFERROR(D21/D16,0)</f>
        <v/>
      </c>
      <c r="E22" s="29">
        <f>IFERROR(E21/E16,0)</f>
        <v/>
      </c>
      <c r="F22" s="29">
        <f>IFERROR(F21/F16,0)</f>
        <v/>
      </c>
    </row>
    <row r="24">
      <c r="A24" t="inlineStr">
        <is>
          <t>Rule of 40 (growth + margin)</t>
        </is>
      </c>
      <c r="B24" s="30" t="inlineStr">
        <is>
          <t>N/A</t>
        </is>
      </c>
      <c r="C24" s="30">
        <f>C7+P&amp;L!C23</f>
        <v/>
      </c>
      <c r="D24" s="30">
        <f>D7+P&amp;L!D23</f>
        <v/>
      </c>
      <c r="E24" s="30">
        <f>E7+P&amp;L!E23</f>
        <v/>
      </c>
      <c r="F24" s="30">
        <f>F7+P&amp;L!F23</f>
        <v/>
      </c>
    </row>
    <row r="26">
      <c r="A26" t="inlineStr">
        <is>
          <t>Cached-replay % (Base)</t>
        </is>
      </c>
      <c r="B26" s="10">
        <f>ASSUMPTIONS!B38</f>
        <v/>
      </c>
      <c r="C26" s="10">
        <f>ASSUMPTIONS!C38</f>
        <v/>
      </c>
      <c r="D26" s="10">
        <f>ASSUMPTIONS!D38</f>
        <v/>
      </c>
      <c r="E26" s="10">
        <f>ASSUMPTIONS!E38</f>
        <v/>
      </c>
      <c r="F26" s="10">
        <f>ASSUMPTIONS!F38</f>
        <v/>
      </c>
    </row>
    <row r="27">
      <c r="A27" t="inlineStr">
        <is>
          <t>API blended margin</t>
        </is>
      </c>
      <c r="B27" s="30">
        <f>ASSUMPTIONS!$B$42+B26*(ASSUMPTIONS!$B$43-ASSUMPTIONS!$B$42)</f>
        <v/>
      </c>
      <c r="C27" s="30">
        <f>ASSUMPTIONS!$B$42+C26*(ASSUMPTIONS!$B$43-ASSUMPTIONS!$B$42)</f>
        <v/>
      </c>
      <c r="D27" s="30">
        <f>ASSUMPTIONS!$B$42+D26*(ASSUMPTIONS!$B$43-ASSUMPTIONS!$B$42)</f>
        <v/>
      </c>
      <c r="E27" s="30">
        <f>ASSUMPTIONS!$B$42+E26*(ASSUMPTIONS!$B$43-ASSUMPTIONS!$B$42)</f>
        <v/>
      </c>
      <c r="F27" s="30">
        <f>ASSUMPTIONS!$B$42+F26*(ASSUMPTIONS!$B$43-ASSUMPTIONS!$B$42)</f>
        <v/>
      </c>
    </row>
    <row r="29">
      <c r="A29" t="inlineStr">
        <is>
          <t>Pilot bookings (Base, one-time non-ACV)</t>
        </is>
      </c>
      <c r="B29">
        <f>REVENUE_BUILD!B40</f>
        <v/>
      </c>
      <c r="C29">
        <f>REVENUE_BUILD!C40</f>
        <v/>
      </c>
      <c r="D29">
        <f>REVENUE_BUILD!D40</f>
        <v/>
      </c>
      <c r="E29">
        <f>REVENUE_BUILD!E40</f>
        <v/>
      </c>
      <c r="F29">
        <f>REVENUE_BUILD!F40</f>
        <v/>
      </c>
    </row>
  </sheetData>
  <conditionalFormatting sqref="B24:F24">
    <cfRule type="cellIs" priority="1" operator="greaterThan" dxfId="0">
      <formula>0.40</formula>
    </cfRule>
    <cfRule type="cellIs" priority="2" operator="lessThan" dxfId="1">
      <formula>0</formula>
    </cfRule>
  </conditionalFormatting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31"/>
  <sheetViews>
    <sheetView workbookViewId="0">
      <selection activeCell="A1" sqref="A1"/>
    </sheetView>
  </sheetViews>
  <sheetFormatPr baseColWidth="8" defaultRowHeight="15"/>
  <cols>
    <col width="35" customWidth="1" min="1" max="1"/>
    <col width="18" customWidth="1" min="2" max="2"/>
    <col width="18" customWidth="1" min="3" max="3"/>
    <col width="18" customWidth="1" min="4" max="4"/>
    <col width="18" customWidth="1" min="5" max="5"/>
    <col width="18" customWidth="1" min="6" max="6"/>
    <col width="18" customWidth="1" min="7" max="7"/>
  </cols>
  <sheetData>
    <row r="1">
      <c r="A1" s="1" t="inlineStr">
        <is>
          <t>Bear / Base / Bull — Side by Side</t>
        </is>
      </c>
    </row>
    <row r="2">
      <c r="A2" s="2" t="inlineStr">
        <is>
          <t>Pulled from REVENUE_BUILD totals. DCF below uses Y5 ARR × exit multiple, discounted.</t>
        </is>
      </c>
    </row>
    <row r="4">
      <c r="A4" s="3" t="inlineStr">
        <is>
          <t>Case</t>
        </is>
      </c>
      <c r="B4" s="3" t="inlineStr">
        <is>
          <t>Y1 (2026)</t>
        </is>
      </c>
      <c r="C4" s="3" t="inlineStr">
        <is>
          <t>Y2 (2027)</t>
        </is>
      </c>
      <c r="D4" s="3" t="inlineStr">
        <is>
          <t>Y3 (2028)</t>
        </is>
      </c>
      <c r="E4" s="3" t="inlineStr">
        <is>
          <t>Y4 (2029)</t>
        </is>
      </c>
      <c r="F4" s="3" t="inlineStr">
        <is>
          <t>Y5 (2030)</t>
        </is>
      </c>
    </row>
    <row r="6">
      <c r="A6" t="inlineStr">
        <is>
          <t>Bear total ARR</t>
        </is>
      </c>
      <c r="B6" s="31">
        <f>REVENUE_BUILD!B14</f>
        <v/>
      </c>
      <c r="C6" s="31">
        <f>REVENUE_BUILD!C14</f>
        <v/>
      </c>
      <c r="D6" s="31">
        <f>REVENUE_BUILD!D14</f>
        <v/>
      </c>
      <c r="E6" s="31">
        <f>REVENUE_BUILD!E14</f>
        <v/>
      </c>
      <c r="F6" s="31">
        <f>REVENUE_BUILD!F14</f>
        <v/>
      </c>
    </row>
    <row r="7">
      <c r="A7" t="inlineStr">
        <is>
          <t>Base total ARR</t>
        </is>
      </c>
      <c r="B7" s="31">
        <f>REVENUE_BUILD!B24</f>
        <v/>
      </c>
      <c r="C7" s="31">
        <f>REVENUE_BUILD!C24</f>
        <v/>
      </c>
      <c r="D7" s="31">
        <f>REVENUE_BUILD!D24</f>
        <v/>
      </c>
      <c r="E7" s="31">
        <f>REVENUE_BUILD!E24</f>
        <v/>
      </c>
      <c r="F7" s="31">
        <f>REVENUE_BUILD!F24</f>
        <v/>
      </c>
    </row>
    <row r="8">
      <c r="A8" t="inlineStr">
        <is>
          <t>Bull total ARR</t>
        </is>
      </c>
      <c r="B8" s="31">
        <f>REVENUE_BUILD!B34</f>
        <v/>
      </c>
      <c r="C8" s="31">
        <f>REVENUE_BUILD!C34</f>
        <v/>
      </c>
      <c r="D8" s="31">
        <f>REVENUE_BUILD!D34</f>
        <v/>
      </c>
      <c r="E8" s="31">
        <f>REVENUE_BUILD!E34</f>
        <v/>
      </c>
      <c r="F8" s="31">
        <f>REVENUE_BUILD!F34</f>
        <v/>
      </c>
    </row>
    <row r="9">
      <c r="A9" t="inlineStr">
        <is>
          <t>Base Pilot bookings (memo, one-time)</t>
        </is>
      </c>
      <c r="B9">
        <f>REVENUE_BUILD!B40</f>
        <v/>
      </c>
      <c r="C9">
        <f>REVENUE_BUILD!C40</f>
        <v/>
      </c>
      <c r="D9">
        <f>REVENUE_BUILD!D40</f>
        <v/>
      </c>
      <c r="E9">
        <f>REVENUE_BUILD!E40</f>
        <v/>
      </c>
      <c r="F9">
        <f>REVENUE_BUILD!F40</f>
        <v/>
      </c>
    </row>
    <row r="10">
      <c r="A10" t="inlineStr">
        <is>
          <t>Base Total with Pilot bookings</t>
        </is>
      </c>
      <c r="B10">
        <f>REVENUE_BUILD!B24+REVENUE_BUILD!B40</f>
        <v/>
      </c>
      <c r="C10">
        <f>REVENUE_BUILD!C24+REVENUE_BUILD!C40</f>
        <v/>
      </c>
      <c r="D10">
        <f>REVENUE_BUILD!D24+REVENUE_BUILD!D40</f>
        <v/>
      </c>
      <c r="E10">
        <f>REVENUE_BUILD!E24+REVENUE_BUILD!E40</f>
        <v/>
      </c>
      <c r="F10">
        <f>REVENUE_BUILD!F24+REVENUE_BUILD!F40</f>
        <v/>
      </c>
    </row>
    <row r="11">
      <c r="A11" s="4" t="inlineStr">
        <is>
          <t>DCF VALUATION (using assumptions sheet)</t>
        </is>
      </c>
    </row>
    <row r="12">
      <c r="A12" t="inlineStr">
        <is>
          <t>Y5 ARR (Base)</t>
        </is>
      </c>
      <c r="B12" s="32">
        <f>F7</f>
        <v/>
      </c>
    </row>
    <row r="13">
      <c r="A13" t="inlineStr">
        <is>
          <t>Exit multiple</t>
        </is>
      </c>
      <c r="B13" s="33">
        <f>ASSUMPTIONS!B46</f>
        <v/>
      </c>
    </row>
    <row r="14">
      <c r="A14" t="inlineStr">
        <is>
          <t>Y5 enterprise value</t>
        </is>
      </c>
      <c r="B14" s="22">
        <f>B12*B13</f>
        <v/>
      </c>
    </row>
    <row r="15">
      <c r="A15" t="inlineStr">
        <is>
          <t>Discount rate</t>
        </is>
      </c>
      <c r="B15" s="10">
        <f>ASSUMPTIONS!B45</f>
        <v/>
      </c>
    </row>
    <row r="16">
      <c r="A16" t="inlineStr">
        <is>
          <t>Years to discount</t>
        </is>
      </c>
      <c r="B16" s="9" t="n">
        <v>5</v>
      </c>
    </row>
    <row r="17">
      <c r="A17" t="inlineStr">
        <is>
          <t>Present value (today)</t>
        </is>
      </c>
      <c r="B17" s="21">
        <f>B14/((1+B15)^B16)</f>
        <v/>
      </c>
    </row>
    <row r="19">
      <c r="A19" s="4" t="inlineStr">
        <is>
          <t>PRE-SEED RAISE (DUAL SCENARIO)</t>
        </is>
      </c>
    </row>
    <row r="20">
      <c r="A20" t="inlineStr">
        <is>
          <t>Post-money cap</t>
        </is>
      </c>
      <c r="B20" s="11">
        <f>ASSUMPTIONS!B53</f>
        <v/>
      </c>
    </row>
    <row r="21">
      <c r="A21" t="inlineStr">
        <is>
          <t>Lean target raise</t>
        </is>
      </c>
      <c r="B21" s="11">
        <f>ASSUMPTIONS!B54</f>
        <v/>
      </c>
    </row>
    <row r="22">
      <c r="A22" t="inlineStr">
        <is>
          <t>Aggressive ceiling raise</t>
        </is>
      </c>
      <c r="B22" s="11">
        <f>ASSUMPTIONS!B55</f>
        <v/>
      </c>
    </row>
    <row r="23">
      <c r="A23" t="inlineStr">
        <is>
          <t>Lean SAFE pool %</t>
        </is>
      </c>
      <c r="B23" s="10">
        <f>B21/B20</f>
        <v/>
      </c>
    </row>
    <row r="24">
      <c r="A24" t="inlineStr">
        <is>
          <t>Aggressive SAFE pool %</t>
        </is>
      </c>
      <c r="B24" s="10">
        <f>B22/B20</f>
        <v/>
      </c>
    </row>
    <row r="26">
      <c r="A26" t="inlineStr">
        <is>
          <t>Cap as % of Base PV</t>
        </is>
      </c>
      <c r="B26" s="34">
        <f>B20/B17</f>
        <v/>
      </c>
    </row>
    <row r="28">
      <c r="A28" s="4" t="inlineStr">
        <is>
          <t>SERIES A IMPLIED PATH</t>
        </is>
      </c>
    </row>
    <row r="29">
      <c r="A29" t="inlineStr">
        <is>
          <t>Y2 ARR (Base)</t>
        </is>
      </c>
      <c r="B29" s="32">
        <f>C7</f>
        <v/>
      </c>
    </row>
    <row r="30">
      <c r="A30" t="inlineStr">
        <is>
          <t>Series A multiple</t>
        </is>
      </c>
      <c r="B30" s="8" t="n">
        <v>12</v>
      </c>
    </row>
    <row r="31">
      <c r="A31" t="inlineStr">
        <is>
          <t>Series A implied post-money</t>
        </is>
      </c>
      <c r="B31" s="16">
        <f>B29*B30</f>
        <v/>
      </c>
    </row>
  </sheetData>
  <conditionalFormatting sqref="B6:F8">
    <cfRule type="colorScale" priority="1">
      <colorScale>
        <cfvo type="min"/>
        <cfvo type="percentile" val="50"/>
        <cfvo type="max"/>
        <color rgb="00FFEB9C"/>
        <color rgb="00FFFFFF"/>
        <color rgb="00C6EFCE"/>
      </colorScale>
    </cfRule>
  </conditionalFormatting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20"/>
  <sheetViews>
    <sheetView workbookViewId="0">
      <selection activeCell="A1" sqref="A1"/>
    </sheetView>
  </sheetViews>
  <sheetFormatPr baseColWidth="8" defaultRowHeight="15"/>
  <cols>
    <col width="50" customWidth="1" min="1" max="1"/>
    <col width="18" customWidth="1" min="2" max="2"/>
    <col width="16" customWidth="1" min="3" max="3"/>
    <col width="22" customWidth="1" min="4" max="4"/>
    <col width="22" customWidth="1" min="5" max="5"/>
    <col width="36" customWidth="1" min="6" max="6"/>
  </cols>
  <sheetData>
    <row r="1">
      <c r="A1" s="1" t="inlineStr">
        <is>
          <t>Cap Table - Post-Conversion C-Corp Shares (Target SAFE)</t>
        </is>
      </c>
    </row>
    <row r="2">
      <c r="A2" s="2" t="inlineStr">
        <is>
          <t>Rōvn LLC member units converted to Rōvn, Inc. (Delaware C-Corp) common shares.</t>
        </is>
      </c>
    </row>
    <row r="4">
      <c r="A4" s="3" t="inlineStr">
        <is>
          <t>Holder</t>
        </is>
      </c>
      <c r="B4" s="3" t="inlineStr">
        <is>
          <t>Shares / Equivalent</t>
        </is>
      </c>
      <c r="C4" s="3" t="inlineStr">
        <is>
          <t>Class</t>
        </is>
      </c>
      <c r="D4" s="3" t="inlineStr">
        <is>
          <t>Target $2.25M / $15M Ownership %</t>
        </is>
      </c>
      <c r="E4" s="3" t="inlineStr">
        <is>
          <t>Hard cap $2.75M / $15M Ownership %</t>
        </is>
      </c>
      <c r="F4" s="3" t="inlineStr">
        <is>
          <t>Vesting</t>
        </is>
      </c>
    </row>
    <row r="6">
      <c r="A6" t="inlineStr">
        <is>
          <t>Giles-Evan Mboumi (CEO, Director)</t>
        </is>
      </c>
      <c r="B6" s="5" t="n">
        <v>7000000</v>
      </c>
      <c r="C6" s="35" t="inlineStr">
        <is>
          <t>Common</t>
        </is>
      </c>
      <c r="D6" s="10">
        <f>B6/$B$11</f>
        <v/>
      </c>
      <c r="E6" s="10">
        <f>B6/$B$12</f>
        <v/>
      </c>
      <c r="F6" s="35" t="inlineStr">
        <is>
          <t>Fully vested at conversion</t>
        </is>
      </c>
    </row>
    <row r="7">
      <c r="A7" t="inlineStr">
        <is>
          <t>Doutche Mpindu (CPO)</t>
        </is>
      </c>
      <c r="B7" s="5" t="n">
        <v>1500000</v>
      </c>
      <c r="C7" t="inlineStr">
        <is>
          <t>Common</t>
        </is>
      </c>
      <c r="D7" s="10">
        <f>B7/$B$11</f>
        <v/>
      </c>
      <c r="E7" s="10">
        <f>B7/$B$12</f>
        <v/>
      </c>
      <c r="F7" t="inlineStr">
        <is>
          <t>4-yr / 1-yr cliff (vesting credit preserved)</t>
        </is>
      </c>
    </row>
    <row r="8">
      <c r="A8" t="inlineStr">
        <is>
          <t>Christian Montgomery (CTO)</t>
        </is>
      </c>
      <c r="B8" s="5" t="n">
        <v>1500000</v>
      </c>
      <c r="C8" t="inlineStr">
        <is>
          <t>Common</t>
        </is>
      </c>
      <c r="D8" s="10">
        <f>B8/$B$11</f>
        <v/>
      </c>
      <c r="E8" s="10">
        <f>B8/$B$12</f>
        <v/>
      </c>
      <c r="F8" t="inlineStr">
        <is>
          <t>4-yr / 1-yr cliff (vesting credit preserved)</t>
        </is>
      </c>
    </row>
    <row r="9">
      <c r="A9" t="inlineStr">
        <is>
          <t>Option pool reserve (illustrative 10% post-close)</t>
        </is>
      </c>
      <c r="B9" s="5">
        <f>ROUND(10000000/(1-0.10-ASSUMPTIONS!B56)*0.10,0)</f>
        <v/>
      </c>
      <c r="C9" t="inlineStr">
        <is>
          <t>Common reserve</t>
        </is>
      </c>
      <c r="D9" s="10">
        <f>B9/$B$11</f>
        <v/>
      </c>
      <c r="E9" s="10">
        <f>ROUND(10000000/(1-0.10-ASSUMPTIONS!B57)*0.10,0)/$B$12</f>
        <v/>
      </c>
      <c r="F9" t="inlineStr">
        <is>
          <t>Subject to lead negotiation</t>
        </is>
      </c>
    </row>
    <row r="10">
      <c r="A10" t="inlineStr">
        <is>
          <t>Pre-seed SAFE holders ($15M post-money cap)</t>
        </is>
      </c>
      <c r="B10" s="5">
        <f>ROUND(10000000/(1-0.10-ASSUMPTIONS!B56)*ASSUMPTIONS!B56,0)</f>
        <v/>
      </c>
      <c r="C10" t="inlineStr">
        <is>
          <t>Post-money SAFE</t>
        </is>
      </c>
      <c r="D10" s="10">
        <f>B10/$B$11</f>
        <v/>
      </c>
      <c r="E10" s="10">
        <f>ROUND(10000000/(1-0.10-ASSUMPTIONS!B57)*ASSUMPTIONS!B57,0)/$B$12</f>
        <v/>
      </c>
      <c r="F10" t="inlineStr">
        <is>
          <t>Converts at first priced round</t>
        </is>
      </c>
    </row>
    <row r="11">
      <c r="A11" t="inlineStr">
        <is>
          <t>TOTAL fully diluted - target raise</t>
        </is>
      </c>
      <c r="B11" s="36">
        <f>B6+B7+B8+B9+B10</f>
        <v/>
      </c>
      <c r="D11" s="30">
        <f>SUM(D6:D10)</f>
        <v/>
      </c>
    </row>
    <row r="12">
      <c r="A12" t="inlineStr">
        <is>
          <t>TOTAL fully diluted - hard cap</t>
        </is>
      </c>
      <c r="B12" s="36">
        <f>B6+B7+B8+ROUND(10000000/(1-0.10-ASSUMPTIONS!B57)*0.10,0)+ROUND(10000000/(1-0.10-ASSUMPTIONS!B57)*ASSUMPTIONS!B57,0)</f>
        <v/>
      </c>
      <c r="E12" s="30">
        <f>SUM(E6:E10)</f>
        <v/>
      </c>
    </row>
    <row r="14">
      <c r="A14" s="4" t="inlineStr">
        <is>
          <t>TARGET RAISE MATH</t>
        </is>
      </c>
    </row>
    <row r="15">
      <c r="A15" t="inlineStr">
        <is>
          <t xml:space="preserve">  Post-money cap</t>
        </is>
      </c>
      <c r="B15" s="11">
        <f>ASSUMPTIONS!B53</f>
        <v/>
      </c>
    </row>
    <row r="16">
      <c r="A16" s="37" t="inlineStr">
        <is>
          <t xml:space="preserve">  Target: $2.25M raise / $15M cap = 15% SAFE pool - pre-money $12.75M</t>
        </is>
      </c>
    </row>
    <row r="17">
      <c r="A17" s="37" t="inlineStr">
        <is>
          <t xml:space="preserve">  Hard cap: $2.75M raise / $15M cap = 18.33% SAFE pool - pre-money $12.25M</t>
        </is>
      </c>
    </row>
    <row r="18">
      <c r="A18" s="37" t="inlineStr">
        <is>
          <t xml:space="preserve">  Option pool shown as illustrative 10% post-close reserve; final treatment negotiated with lead</t>
        </is>
      </c>
    </row>
    <row r="19">
      <c r="A19" s="37" t="inlineStr">
        <is>
          <t xml:space="preserve">  Founder dilution: target ~75% / hard cap ~71.7% before future priced-round dilution</t>
        </is>
      </c>
    </row>
    <row r="20">
      <c r="A20" s="37" t="inlineStr">
        <is>
          <t xml:space="preserve">  Re-papered under Rovn, Inc. (Delaware C-Corp) - see 01_company_CONVERSION_NOTE.md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2026-05-14T18:02:50Z</dcterms:created>
  <dcterms:modified xmlns:dcterms="http://purl.org/dc/terms/" xmlns:xsi="http://www.w3.org/2001/XMLSchema-instance" xsi:type="dcterms:W3CDTF">2026-05-28T20:00:53Z</dcterms:modified>
</cp:coreProperties>
</file>